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6576" activeTab="2"/>
  </bookViews>
  <sheets>
    <sheet name="Baselines" sheetId="1" r:id="rId1"/>
    <sheet name="Price formula" sheetId="2" r:id="rId2"/>
    <sheet name="Growers data" sheetId="3" r:id="rId3"/>
  </sheets>
  <definedNames/>
  <calcPr fullCalcOnLoad="1"/>
</workbook>
</file>

<file path=xl/sharedStrings.xml><?xml version="1.0" encoding="utf-8"?>
<sst xmlns="http://schemas.openxmlformats.org/spreadsheetml/2006/main" count="340" uniqueCount="79">
  <si>
    <t>Area harvested</t>
  </si>
  <si>
    <t>ha</t>
  </si>
  <si>
    <t>tonnes</t>
  </si>
  <si>
    <t>$/ha</t>
  </si>
  <si>
    <t>$/t</t>
  </si>
  <si>
    <t>Whole Farm</t>
  </si>
  <si>
    <t>Income</t>
  </si>
  <si>
    <t>Growing Costs - per hectare</t>
  </si>
  <si>
    <t>Chemicals</t>
  </si>
  <si>
    <t>Electricity - pumping</t>
  </si>
  <si>
    <t>Fertiliser</t>
  </si>
  <si>
    <t>Water - actual</t>
  </si>
  <si>
    <t>Repairs &amp; maintaince</t>
  </si>
  <si>
    <t>Fuel &amp; oil</t>
  </si>
  <si>
    <t>Total Growing Costs/Ha</t>
  </si>
  <si>
    <t>Growing Costs - per tonne</t>
  </si>
  <si>
    <t>Harvesting</t>
  </si>
  <si>
    <t>Mill deductions</t>
  </si>
  <si>
    <t>Total Growing Costs/Tonne</t>
  </si>
  <si>
    <t>Total Growing Costs</t>
  </si>
  <si>
    <t>Gross Margin</t>
  </si>
  <si>
    <t>Fixed Costs</t>
  </si>
  <si>
    <t>Electricity - shed</t>
  </si>
  <si>
    <t>Sundries</t>
  </si>
  <si>
    <t>Bank Charges</t>
  </si>
  <si>
    <t>Telephone/postage</t>
  </si>
  <si>
    <t>Accountant/legal</t>
  </si>
  <si>
    <t>Insurance</t>
  </si>
  <si>
    <t>Rates</t>
  </si>
  <si>
    <t>Registration</t>
  </si>
  <si>
    <t>Permanent Wages (inc super)</t>
  </si>
  <si>
    <t>Water charges - infrastructure</t>
  </si>
  <si>
    <t>Total Fixed Costs</t>
  </si>
  <si>
    <t>Operating Profit</t>
  </si>
  <si>
    <t>Finance costs</t>
  </si>
  <si>
    <t>Net Profit</t>
  </si>
  <si>
    <t>Owners Costs</t>
  </si>
  <si>
    <t>Net Cashflow</t>
  </si>
  <si>
    <t>$/t cane</t>
  </si>
  <si>
    <t>Farm Yield/ha</t>
  </si>
  <si>
    <t>Variables</t>
  </si>
  <si>
    <t>Sugar price</t>
  </si>
  <si>
    <t>Sucrose</t>
  </si>
  <si>
    <t>Impurities</t>
  </si>
  <si>
    <t>Fibre</t>
  </si>
  <si>
    <t>Mud</t>
  </si>
  <si>
    <t>Baseline</t>
  </si>
  <si>
    <t>Molasses share per t impurity</t>
  </si>
  <si>
    <t>Cogen share per t clean fibre</t>
  </si>
  <si>
    <t>IPS Adjustment factor</t>
  </si>
  <si>
    <t>Growers Share</t>
  </si>
  <si>
    <t>Cane constituent</t>
  </si>
  <si>
    <t>% IN CANE</t>
  </si>
  <si>
    <t>Sucrose factor</t>
  </si>
  <si>
    <t>Sucrose available/tc</t>
  </si>
  <si>
    <t>Recoverable  Value/tc</t>
  </si>
  <si>
    <t>Molasses &amp; Co-gen value/tc</t>
  </si>
  <si>
    <t>Total Value $/tc</t>
  </si>
  <si>
    <t>Pol</t>
  </si>
  <si>
    <t>IPS adjustment</t>
  </si>
  <si>
    <t>PRS</t>
  </si>
  <si>
    <t>DISTRICT  - IRRIGATED</t>
  </si>
  <si>
    <t>DISTRICT - DRYLAND</t>
  </si>
  <si>
    <t>DISTRICT - SUPPLEMENTARY IRIGATED</t>
  </si>
  <si>
    <t>Growers</t>
  </si>
  <si>
    <t>GROWER  - IRRIGATED</t>
  </si>
  <si>
    <t>GROWER - DRYLAND</t>
  </si>
  <si>
    <t>GROWER - SUPPLEMENTARY IRIGATED</t>
  </si>
  <si>
    <t>GROWERS</t>
  </si>
  <si>
    <t>COMBINED COSTS</t>
  </si>
  <si>
    <t>Tonnes/Ha</t>
  </si>
  <si>
    <t>Tonnes/farm</t>
  </si>
  <si>
    <t>Breakeven  - growing costs</t>
  </si>
  <si>
    <t>Breakeven - operating profit</t>
  </si>
  <si>
    <t>Break even - all costs</t>
  </si>
  <si>
    <t>Yield to Breakeven - Grower</t>
  </si>
  <si>
    <t>Yields to Breakeven - Baseline</t>
  </si>
  <si>
    <t>COMPARISON OF ECONOMICS OF SUGARCANE</t>
  </si>
  <si>
    <t>GROWERS OWN ASSESSMENT OF FARM INCOME POTENTIAL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</si>
</sst>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$-C09]#,##0;[Red][$$-C09]#,##0"/>
    <numFmt numFmtId="171" formatCode="[$$-C09]#,##0"/>
    <numFmt numFmtId="172" formatCode="[$$-C09]#,##0;[Red]\-[$$-C09]#,##0"/>
    <numFmt numFmtId="173" formatCode="[$$-C09]#,##0.00"/>
    <numFmt numFmtId="174" formatCode="&quot;$&quot;#,##0"/>
    <numFmt numFmtId="175" formatCode="&quot;$&quot;#,##0.00"/>
    <numFmt numFmtId="176" formatCode="0.00_ ;[Red]\-0.00\ "/>
    <numFmt numFmtId="177" formatCode="0.000%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2" fillId="0" borderId="15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3" fillId="34" borderId="13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" fontId="3" fillId="34" borderId="18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Border="1" applyAlignment="1">
      <alignment/>
    </xf>
    <xf numFmtId="171" fontId="3" fillId="0" borderId="24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17" xfId="0" applyNumberFormat="1" applyFont="1" applyBorder="1" applyAlignment="1">
      <alignment/>
    </xf>
    <xf numFmtId="1" fontId="2" fillId="34" borderId="17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2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26" xfId="0" applyBorder="1" applyAlignment="1">
      <alignment/>
    </xf>
    <xf numFmtId="174" fontId="0" fillId="34" borderId="26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10" fontId="0" fillId="34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10" fontId="0" fillId="34" borderId="26" xfId="57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 horizontal="right"/>
    </xf>
    <xf numFmtId="175" fontId="0" fillId="35" borderId="26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17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35" borderId="2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7" xfId="0" applyFont="1" applyFill="1" applyBorder="1" applyAlignment="1">
      <alignment horizontal="left"/>
    </xf>
    <xf numFmtId="0" fontId="0" fillId="0" borderId="27" xfId="0" applyBorder="1" applyAlignment="1">
      <alignment/>
    </xf>
    <xf numFmtId="10" fontId="0" fillId="0" borderId="27" xfId="57" applyNumberFormat="1" applyFont="1" applyBorder="1" applyAlignment="1">
      <alignment horizontal="right"/>
    </xf>
    <xf numFmtId="0" fontId="0" fillId="0" borderId="26" xfId="0" applyFont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176" fontId="0" fillId="0" borderId="26" xfId="0" applyNumberFormat="1" applyFont="1" applyBorder="1" applyAlignment="1">
      <alignment horizontal="right"/>
    </xf>
    <xf numFmtId="175" fontId="0" fillId="0" borderId="26" xfId="0" applyNumberFormat="1" applyBorder="1" applyAlignment="1">
      <alignment/>
    </xf>
    <xf numFmtId="177" fontId="0" fillId="0" borderId="26" xfId="57" applyNumberFormat="1" applyFont="1" applyBorder="1" applyAlignment="1">
      <alignment horizontal="right"/>
    </xf>
    <xf numFmtId="175" fontId="0" fillId="0" borderId="26" xfId="0" applyNumberFormat="1" applyFill="1" applyBorder="1" applyAlignment="1">
      <alignment/>
    </xf>
    <xf numFmtId="10" fontId="0" fillId="0" borderId="26" xfId="57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10" fontId="0" fillId="36" borderId="26" xfId="0" applyNumberFormat="1" applyFont="1" applyFill="1" applyBorder="1" applyAlignment="1">
      <alignment horizontal="right"/>
    </xf>
    <xf numFmtId="175" fontId="0" fillId="36" borderId="26" xfId="0" applyNumberFormat="1" applyFont="1" applyFill="1" applyBorder="1" applyAlignment="1">
      <alignment horizontal="right"/>
    </xf>
    <xf numFmtId="176" fontId="0" fillId="0" borderId="28" xfId="0" applyNumberFormat="1" applyFont="1" applyBorder="1" applyAlignment="1">
      <alignment horizontal="right"/>
    </xf>
    <xf numFmtId="175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75" fontId="0" fillId="0" borderId="28" xfId="0" applyNumberFormat="1" applyFill="1" applyBorder="1" applyAlignment="1">
      <alignment/>
    </xf>
    <xf numFmtId="176" fontId="0" fillId="0" borderId="29" xfId="0" applyNumberFormat="1" applyFont="1" applyBorder="1" applyAlignment="1">
      <alignment horizontal="right"/>
    </xf>
    <xf numFmtId="175" fontId="5" fillId="0" borderId="29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174" fontId="0" fillId="0" borderId="26" xfId="0" applyNumberFormat="1" applyFill="1" applyBorder="1" applyAlignment="1">
      <alignment horizontal="center"/>
    </xf>
    <xf numFmtId="10" fontId="0" fillId="0" borderId="26" xfId="0" applyNumberFormat="1" applyFont="1" applyFill="1" applyBorder="1" applyAlignment="1">
      <alignment horizontal="center"/>
    </xf>
    <xf numFmtId="10" fontId="0" fillId="0" borderId="26" xfId="57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1" fontId="3" fillId="35" borderId="13" xfId="0" applyNumberFormat="1" applyFont="1" applyFill="1" applyBorder="1" applyAlignment="1">
      <alignment/>
    </xf>
    <xf numFmtId="0" fontId="6" fillId="37" borderId="31" xfId="0" applyFont="1" applyFill="1" applyBorder="1" applyAlignment="1">
      <alignment/>
    </xf>
    <xf numFmtId="170" fontId="6" fillId="37" borderId="32" xfId="0" applyNumberFormat="1" applyFont="1" applyFill="1" applyBorder="1" applyAlignment="1">
      <alignment/>
    </xf>
    <xf numFmtId="0" fontId="6" fillId="37" borderId="17" xfId="0" applyFont="1" applyFill="1" applyBorder="1" applyAlignment="1">
      <alignment/>
    </xf>
    <xf numFmtId="171" fontId="6" fillId="37" borderId="18" xfId="0" applyNumberFormat="1" applyFont="1" applyFill="1" applyBorder="1" applyAlignment="1">
      <alignment/>
    </xf>
    <xf numFmtId="0" fontId="3" fillId="37" borderId="17" xfId="0" applyFont="1" applyFill="1" applyBorder="1" applyAlignment="1">
      <alignment/>
    </xf>
    <xf numFmtId="171" fontId="3" fillId="37" borderId="18" xfId="0" applyNumberFormat="1" applyFont="1" applyFill="1" applyBorder="1" applyAlignment="1">
      <alignment/>
    </xf>
    <xf numFmtId="0" fontId="3" fillId="37" borderId="31" xfId="0" applyFont="1" applyFill="1" applyBorder="1" applyAlignment="1">
      <alignment/>
    </xf>
    <xf numFmtId="170" fontId="3" fillId="37" borderId="32" xfId="0" applyNumberFormat="1" applyFont="1" applyFill="1" applyBorder="1" applyAlignment="1">
      <alignment/>
    </xf>
    <xf numFmtId="172" fontId="3" fillId="37" borderId="32" xfId="0" applyNumberFormat="1" applyFont="1" applyFill="1" applyBorder="1" applyAlignment="1">
      <alignment/>
    </xf>
    <xf numFmtId="172" fontId="6" fillId="37" borderId="32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1" fontId="3" fillId="38" borderId="13" xfId="0" applyNumberFormat="1" applyFont="1" applyFill="1" applyBorder="1" applyAlignment="1">
      <alignment/>
    </xf>
    <xf numFmtId="0" fontId="3" fillId="38" borderId="21" xfId="0" applyFont="1" applyFill="1" applyBorder="1" applyAlignment="1">
      <alignment/>
    </xf>
    <xf numFmtId="1" fontId="3" fillId="38" borderId="21" xfId="0" applyNumberFormat="1" applyFont="1" applyFill="1" applyBorder="1" applyAlignment="1">
      <alignment/>
    </xf>
    <xf numFmtId="0" fontId="3" fillId="38" borderId="23" xfId="0" applyFont="1" applyFill="1" applyBorder="1" applyAlignment="1">
      <alignment/>
    </xf>
    <xf numFmtId="1" fontId="3" fillId="38" borderId="30" xfId="0" applyNumberFormat="1" applyFont="1" applyFill="1" applyBorder="1" applyAlignment="1">
      <alignment/>
    </xf>
    <xf numFmtId="171" fontId="3" fillId="38" borderId="24" xfId="0" applyNumberFormat="1" applyFont="1" applyFill="1" applyBorder="1" applyAlignment="1">
      <alignment/>
    </xf>
    <xf numFmtId="0" fontId="2" fillId="38" borderId="23" xfId="0" applyFont="1" applyFill="1" applyBorder="1" applyAlignment="1">
      <alignment/>
    </xf>
    <xf numFmtId="171" fontId="3" fillId="37" borderId="31" xfId="0" applyNumberFormat="1" applyFont="1" applyFill="1" applyBorder="1" applyAlignment="1">
      <alignment/>
    </xf>
    <xf numFmtId="172" fontId="3" fillId="37" borderId="17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1" fontId="1" fillId="0" borderId="33" xfId="0" applyNumberFormat="1" applyFont="1" applyBorder="1" applyAlignment="1">
      <alignment horizontal="center"/>
    </xf>
    <xf numFmtId="0" fontId="2" fillId="0" borderId="3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0.8515625" style="0" customWidth="1"/>
    <col min="2" max="2" width="14.00390625" style="0" customWidth="1"/>
    <col min="3" max="3" width="12.140625" style="0" customWidth="1"/>
    <col min="4" max="4" width="11.28125" style="0" customWidth="1"/>
    <col min="6" max="6" width="22.421875" style="0" customWidth="1"/>
    <col min="8" max="8" width="10.28125" style="0" customWidth="1"/>
    <col min="9" max="9" width="12.28125" style="0" customWidth="1"/>
    <col min="11" max="11" width="21.00390625" style="0" customWidth="1"/>
    <col min="13" max="13" width="11.57421875" style="0" customWidth="1"/>
    <col min="14" max="14" width="12.28125" style="0" customWidth="1"/>
  </cols>
  <sheetData>
    <row r="1" ht="12.75">
      <c r="A1" s="112" t="s">
        <v>77</v>
      </c>
    </row>
    <row r="2" spans="1:3" ht="12.75">
      <c r="A2" s="42" t="s">
        <v>40</v>
      </c>
      <c r="B2" s="45" t="s">
        <v>46</v>
      </c>
      <c r="C2" s="42"/>
    </row>
    <row r="3" spans="1:3" ht="12.75">
      <c r="A3" s="46" t="s">
        <v>41</v>
      </c>
      <c r="B3" s="47">
        <v>370</v>
      </c>
      <c r="C3" s="85"/>
    </row>
    <row r="4" spans="1:3" ht="12.75">
      <c r="A4" s="48" t="s">
        <v>42</v>
      </c>
      <c r="B4" s="49">
        <v>0.135</v>
      </c>
      <c r="C4" s="86"/>
    </row>
    <row r="5" spans="1:3" ht="12.75">
      <c r="A5" s="50" t="s">
        <v>43</v>
      </c>
      <c r="B5" s="51">
        <v>0.025</v>
      </c>
      <c r="C5" s="87"/>
    </row>
    <row r="6" spans="1:3" ht="12.75">
      <c r="A6" s="50" t="s">
        <v>44</v>
      </c>
      <c r="B6" s="51">
        <v>0.14</v>
      </c>
      <c r="C6" s="87"/>
    </row>
    <row r="7" spans="1:3" ht="12.75">
      <c r="A7" s="50" t="s">
        <v>45</v>
      </c>
      <c r="B7" s="51">
        <v>0.015</v>
      </c>
      <c r="C7" s="87"/>
    </row>
    <row r="8" spans="1:2" ht="12.75">
      <c r="A8" s="42" t="s">
        <v>38</v>
      </c>
      <c r="B8" s="43">
        <f>+'Price formula'!G14</f>
        <v>30.122984535287422</v>
      </c>
    </row>
    <row r="9" spans="1:2" ht="12.75">
      <c r="A9" s="42"/>
      <c r="B9" s="43"/>
    </row>
    <row r="10" spans="1:14" ht="12.75">
      <c r="A10" s="1" t="s">
        <v>61</v>
      </c>
      <c r="B10" s="2"/>
      <c r="C10" s="2"/>
      <c r="D10" s="3"/>
      <c r="F10" s="1" t="s">
        <v>62</v>
      </c>
      <c r="G10" s="2"/>
      <c r="H10" s="2"/>
      <c r="I10" s="3"/>
      <c r="K10" s="1" t="s">
        <v>63</v>
      </c>
      <c r="L10" s="2"/>
      <c r="M10" s="2"/>
      <c r="N10" s="3"/>
    </row>
    <row r="11" spans="1:14" ht="12.75">
      <c r="A11" s="4" t="s">
        <v>0</v>
      </c>
      <c r="B11" s="5">
        <v>50</v>
      </c>
      <c r="C11" s="6" t="s">
        <v>1</v>
      </c>
      <c r="D11" s="6"/>
      <c r="E11" s="7"/>
      <c r="F11" s="4" t="s">
        <v>0</v>
      </c>
      <c r="G11" s="5">
        <v>50</v>
      </c>
      <c r="H11" s="6" t="s">
        <v>1</v>
      </c>
      <c r="I11" s="6"/>
      <c r="K11" s="4" t="s">
        <v>0</v>
      </c>
      <c r="L11" s="5">
        <v>50</v>
      </c>
      <c r="M11" s="6" t="s">
        <v>1</v>
      </c>
      <c r="N11" s="6"/>
    </row>
    <row r="12" spans="1:14" ht="12.75">
      <c r="A12" s="4" t="s">
        <v>39</v>
      </c>
      <c r="B12" s="5">
        <v>120</v>
      </c>
      <c r="C12" s="6" t="s">
        <v>2</v>
      </c>
      <c r="D12" s="6"/>
      <c r="E12" s="7"/>
      <c r="F12" s="4" t="s">
        <v>39</v>
      </c>
      <c r="G12" s="5">
        <v>70</v>
      </c>
      <c r="H12" s="6" t="s">
        <v>2</v>
      </c>
      <c r="I12" s="6"/>
      <c r="K12" s="4" t="s">
        <v>39</v>
      </c>
      <c r="L12" s="5">
        <v>100</v>
      </c>
      <c r="M12" s="6" t="s">
        <v>2</v>
      </c>
      <c r="N12" s="6"/>
    </row>
    <row r="13" spans="1:14" ht="13.5" thickBot="1">
      <c r="A13" s="8"/>
      <c r="B13" s="9" t="s">
        <v>3</v>
      </c>
      <c r="C13" s="10" t="s">
        <v>4</v>
      </c>
      <c r="D13" s="10" t="s">
        <v>5</v>
      </c>
      <c r="E13" s="11"/>
      <c r="F13" s="8"/>
      <c r="G13" s="9" t="s">
        <v>3</v>
      </c>
      <c r="H13" s="10" t="s">
        <v>4</v>
      </c>
      <c r="I13" s="10" t="s">
        <v>5</v>
      </c>
      <c r="K13" s="8"/>
      <c r="L13" s="9" t="s">
        <v>3</v>
      </c>
      <c r="M13" s="10" t="s">
        <v>4</v>
      </c>
      <c r="N13" s="10" t="s">
        <v>5</v>
      </c>
    </row>
    <row r="14" spans="1:14" ht="12.75">
      <c r="A14" s="12" t="s">
        <v>6</v>
      </c>
      <c r="B14" s="13">
        <f>+B12*B8</f>
        <v>3614.758144234491</v>
      </c>
      <c r="C14" s="14">
        <f>+B14/B12</f>
        <v>30.122984535287422</v>
      </c>
      <c r="D14" s="14">
        <f>+B14*B11</f>
        <v>180737.90721172455</v>
      </c>
      <c r="E14" s="7"/>
      <c r="F14" s="12" t="s">
        <v>6</v>
      </c>
      <c r="G14" s="13">
        <f>+B8*G12</f>
        <v>2108.6089174701196</v>
      </c>
      <c r="H14" s="14">
        <f>+G14/G12</f>
        <v>30.122984535287422</v>
      </c>
      <c r="I14" s="14">
        <f>+G14*G11</f>
        <v>105430.44587350599</v>
      </c>
      <c r="K14" s="12" t="s">
        <v>6</v>
      </c>
      <c r="L14" s="13">
        <f>+L12*B8</f>
        <v>3012.2984535287424</v>
      </c>
      <c r="M14" s="14">
        <f>+L14/L12</f>
        <v>30.122984535287422</v>
      </c>
      <c r="N14" s="14">
        <f>+L14*L11</f>
        <v>150614.92267643713</v>
      </c>
    </row>
    <row r="15" spans="1:14" ht="12.75">
      <c r="A15" s="8" t="s">
        <v>7</v>
      </c>
      <c r="B15" s="15"/>
      <c r="C15" s="6"/>
      <c r="D15" s="6"/>
      <c r="E15" s="7"/>
      <c r="F15" s="8" t="s">
        <v>7</v>
      </c>
      <c r="G15" s="15"/>
      <c r="H15" s="6"/>
      <c r="I15" s="6"/>
      <c r="K15" s="8" t="s">
        <v>7</v>
      </c>
      <c r="L15" s="15"/>
      <c r="M15" s="6"/>
      <c r="N15" s="6"/>
    </row>
    <row r="16" spans="1:14" ht="12.75">
      <c r="A16" s="4" t="s">
        <v>8</v>
      </c>
      <c r="B16" s="16">
        <v>85</v>
      </c>
      <c r="C16" s="17">
        <f>+B16/$B$12</f>
        <v>0.7083333333333334</v>
      </c>
      <c r="D16" s="6">
        <f aca="true" t="shared" si="0" ref="D16:D21">+B16*$B$11</f>
        <v>4250</v>
      </c>
      <c r="E16" s="7"/>
      <c r="F16" s="4" t="s">
        <v>8</v>
      </c>
      <c r="G16" s="16">
        <v>75</v>
      </c>
      <c r="H16" s="17">
        <f aca="true" t="shared" si="1" ref="H16:H21">+G16/$B$12</f>
        <v>0.625</v>
      </c>
      <c r="I16" s="6">
        <f aca="true" t="shared" si="2" ref="I16:I21">+G16*$G$11</f>
        <v>3750</v>
      </c>
      <c r="K16" s="4" t="s">
        <v>8</v>
      </c>
      <c r="L16" s="16">
        <v>75</v>
      </c>
      <c r="M16" s="17">
        <f aca="true" t="shared" si="3" ref="M16:M21">+L16/$B$12</f>
        <v>0.625</v>
      </c>
      <c r="N16" s="6">
        <f aca="true" t="shared" si="4" ref="N16:N21">+L16*$L$11</f>
        <v>3750</v>
      </c>
    </row>
    <row r="17" spans="1:14" ht="12.75">
      <c r="A17" s="4" t="s">
        <v>9</v>
      </c>
      <c r="B17" s="16">
        <v>150</v>
      </c>
      <c r="C17" s="17">
        <f aca="true" t="shared" si="5" ref="C17:C41">+B17/$B$12</f>
        <v>1.25</v>
      </c>
      <c r="D17" s="6">
        <f t="shared" si="0"/>
        <v>7500</v>
      </c>
      <c r="E17" s="7"/>
      <c r="F17" s="4" t="s">
        <v>9</v>
      </c>
      <c r="G17" s="16">
        <v>0</v>
      </c>
      <c r="H17" s="17">
        <f t="shared" si="1"/>
        <v>0</v>
      </c>
      <c r="I17" s="6">
        <f t="shared" si="2"/>
        <v>0</v>
      </c>
      <c r="K17" s="4" t="s">
        <v>9</v>
      </c>
      <c r="L17" s="16">
        <v>50</v>
      </c>
      <c r="M17" s="17">
        <f t="shared" si="3"/>
        <v>0.4166666666666667</v>
      </c>
      <c r="N17" s="6">
        <f t="shared" si="4"/>
        <v>2500</v>
      </c>
    </row>
    <row r="18" spans="1:14" ht="12.75">
      <c r="A18" s="4" t="s">
        <v>10</v>
      </c>
      <c r="B18" s="16">
        <v>355</v>
      </c>
      <c r="C18" s="17">
        <f t="shared" si="5"/>
        <v>2.9583333333333335</v>
      </c>
      <c r="D18" s="6">
        <f t="shared" si="0"/>
        <v>17750</v>
      </c>
      <c r="E18" s="7"/>
      <c r="F18" s="4" t="s">
        <v>10</v>
      </c>
      <c r="G18" s="16">
        <v>355</v>
      </c>
      <c r="H18" s="17">
        <f t="shared" si="1"/>
        <v>2.9583333333333335</v>
      </c>
      <c r="I18" s="6">
        <f t="shared" si="2"/>
        <v>17750</v>
      </c>
      <c r="K18" s="4" t="s">
        <v>10</v>
      </c>
      <c r="L18" s="16">
        <v>355</v>
      </c>
      <c r="M18" s="17">
        <f t="shared" si="3"/>
        <v>2.9583333333333335</v>
      </c>
      <c r="N18" s="6">
        <f t="shared" si="4"/>
        <v>17750</v>
      </c>
    </row>
    <row r="19" spans="1:14" ht="12.75">
      <c r="A19" s="4" t="s">
        <v>11</v>
      </c>
      <c r="B19" s="16">
        <v>150</v>
      </c>
      <c r="C19" s="17">
        <f t="shared" si="5"/>
        <v>1.25</v>
      </c>
      <c r="D19" s="6">
        <f t="shared" si="0"/>
        <v>7500</v>
      </c>
      <c r="E19" s="7"/>
      <c r="F19" s="4" t="s">
        <v>11</v>
      </c>
      <c r="G19" s="16">
        <v>0</v>
      </c>
      <c r="H19" s="17">
        <f t="shared" si="1"/>
        <v>0</v>
      </c>
      <c r="I19" s="6">
        <f t="shared" si="2"/>
        <v>0</v>
      </c>
      <c r="K19" s="4" t="s">
        <v>11</v>
      </c>
      <c r="L19" s="16">
        <v>90</v>
      </c>
      <c r="M19" s="17">
        <f t="shared" si="3"/>
        <v>0.75</v>
      </c>
      <c r="N19" s="6">
        <f t="shared" si="4"/>
        <v>4500</v>
      </c>
    </row>
    <row r="20" spans="1:14" ht="12.75">
      <c r="A20" s="4" t="s">
        <v>12</v>
      </c>
      <c r="B20" s="16">
        <v>150</v>
      </c>
      <c r="C20" s="17">
        <f t="shared" si="5"/>
        <v>1.25</v>
      </c>
      <c r="D20" s="6">
        <f t="shared" si="0"/>
        <v>7500</v>
      </c>
      <c r="E20" s="7"/>
      <c r="F20" s="4" t="s">
        <v>12</v>
      </c>
      <c r="G20" s="16">
        <v>90</v>
      </c>
      <c r="H20" s="17">
        <f t="shared" si="1"/>
        <v>0.75</v>
      </c>
      <c r="I20" s="6">
        <f t="shared" si="2"/>
        <v>4500</v>
      </c>
      <c r="K20" s="4" t="s">
        <v>12</v>
      </c>
      <c r="L20" s="16">
        <v>120</v>
      </c>
      <c r="M20" s="17">
        <f t="shared" si="3"/>
        <v>1</v>
      </c>
      <c r="N20" s="6">
        <f t="shared" si="4"/>
        <v>6000</v>
      </c>
    </row>
    <row r="21" spans="1:14" ht="13.5" thickBot="1">
      <c r="A21" s="18" t="s">
        <v>13</v>
      </c>
      <c r="B21" s="19">
        <v>120</v>
      </c>
      <c r="C21" s="20">
        <f t="shared" si="5"/>
        <v>1</v>
      </c>
      <c r="D21" s="21">
        <f t="shared" si="0"/>
        <v>6000</v>
      </c>
      <c r="E21" s="7"/>
      <c r="F21" s="18" t="s">
        <v>13</v>
      </c>
      <c r="G21" s="19">
        <v>120</v>
      </c>
      <c r="H21" s="20">
        <f t="shared" si="1"/>
        <v>1</v>
      </c>
      <c r="I21" s="44">
        <f t="shared" si="2"/>
        <v>6000</v>
      </c>
      <c r="K21" s="18" t="s">
        <v>13</v>
      </c>
      <c r="L21" s="19">
        <v>120</v>
      </c>
      <c r="M21" s="20">
        <f t="shared" si="3"/>
        <v>1</v>
      </c>
      <c r="N21" s="44">
        <f t="shared" si="4"/>
        <v>6000</v>
      </c>
    </row>
    <row r="22" spans="1:14" ht="13.5" thickTop="1">
      <c r="A22" s="102" t="s">
        <v>14</v>
      </c>
      <c r="B22" s="103">
        <f>SUM(B16:B21)</f>
        <v>1010</v>
      </c>
      <c r="C22" s="103">
        <f>SUM(C16:C21)</f>
        <v>8.416666666666668</v>
      </c>
      <c r="D22" s="103">
        <f>SUM(D16:D21)</f>
        <v>50500</v>
      </c>
      <c r="E22" s="7"/>
      <c r="F22" s="102" t="s">
        <v>14</v>
      </c>
      <c r="G22" s="103">
        <f>SUM(G16:G21)</f>
        <v>640</v>
      </c>
      <c r="H22" s="103">
        <f>SUM(H16:H21)</f>
        <v>5.333333333333334</v>
      </c>
      <c r="I22" s="103">
        <f>SUM(I16:I21)</f>
        <v>32000</v>
      </c>
      <c r="K22" s="102" t="s">
        <v>14</v>
      </c>
      <c r="L22" s="103">
        <f>SUM(L16:L21)</f>
        <v>810</v>
      </c>
      <c r="M22" s="103">
        <f>SUM(M16:M21)</f>
        <v>6.75</v>
      </c>
      <c r="N22" s="103">
        <f>SUM(N16:N21)</f>
        <v>40500</v>
      </c>
    </row>
    <row r="23" spans="1:14" ht="12.75">
      <c r="A23" s="8"/>
      <c r="B23" s="22"/>
      <c r="C23" s="23"/>
      <c r="D23" s="23"/>
      <c r="E23" s="7"/>
      <c r="F23" s="8"/>
      <c r="G23" s="22"/>
      <c r="H23" s="23"/>
      <c r="I23" s="23"/>
      <c r="K23" s="8"/>
      <c r="L23" s="22"/>
      <c r="M23" s="23"/>
      <c r="N23" s="23"/>
    </row>
    <row r="24" spans="1:14" ht="12.75">
      <c r="A24" s="8" t="s">
        <v>15</v>
      </c>
      <c r="B24" s="22"/>
      <c r="C24" s="17"/>
      <c r="D24" s="6"/>
      <c r="E24" s="7"/>
      <c r="F24" s="8" t="s">
        <v>15</v>
      </c>
      <c r="G24" s="22"/>
      <c r="H24" s="17"/>
      <c r="I24" s="6"/>
      <c r="K24" s="8" t="s">
        <v>15</v>
      </c>
      <c r="L24" s="22"/>
      <c r="M24" s="17"/>
      <c r="N24" s="6"/>
    </row>
    <row r="25" spans="1:14" ht="12.75">
      <c r="A25" s="4" t="s">
        <v>16</v>
      </c>
      <c r="B25" s="22">
        <f>+C25*$B$12</f>
        <v>960</v>
      </c>
      <c r="C25" s="24">
        <v>8</v>
      </c>
      <c r="D25" s="6">
        <f>+B25*$B$11</f>
        <v>48000</v>
      </c>
      <c r="E25" s="7"/>
      <c r="F25" s="4" t="s">
        <v>16</v>
      </c>
      <c r="G25" s="22">
        <f>+H25*$G$12</f>
        <v>560</v>
      </c>
      <c r="H25" s="24">
        <v>8</v>
      </c>
      <c r="I25" s="6">
        <f>+G25*$G$11</f>
        <v>28000</v>
      </c>
      <c r="K25" s="4" t="s">
        <v>16</v>
      </c>
      <c r="L25" s="22">
        <f>+M25*$L$12</f>
        <v>800</v>
      </c>
      <c r="M25" s="24">
        <v>8</v>
      </c>
      <c r="N25" s="6">
        <f>+L25*$L$11</f>
        <v>40000</v>
      </c>
    </row>
    <row r="26" spans="1:14" ht="13.5" thickBot="1">
      <c r="A26" s="18" t="s">
        <v>17</v>
      </c>
      <c r="B26" s="25">
        <f>+C26*$B$12</f>
        <v>72</v>
      </c>
      <c r="C26" s="26">
        <v>0.6</v>
      </c>
      <c r="D26" s="21">
        <f>+B26*$B$11</f>
        <v>3600</v>
      </c>
      <c r="E26" s="7"/>
      <c r="F26" s="18" t="s">
        <v>17</v>
      </c>
      <c r="G26" s="25">
        <f>+H26*$G$12</f>
        <v>42</v>
      </c>
      <c r="H26" s="26">
        <v>0.6</v>
      </c>
      <c r="I26" s="44">
        <f>+G26*$G$11</f>
        <v>2100</v>
      </c>
      <c r="K26" s="18" t="s">
        <v>17</v>
      </c>
      <c r="L26" s="25">
        <f>+M26*$L$12</f>
        <v>60</v>
      </c>
      <c r="M26" s="26">
        <v>0.6</v>
      </c>
      <c r="N26" s="44">
        <f>+L26*$L$11</f>
        <v>3000</v>
      </c>
    </row>
    <row r="27" spans="1:14" ht="13.5" thickTop="1">
      <c r="A27" s="104" t="s">
        <v>18</v>
      </c>
      <c r="B27" s="105">
        <f>SUM(B25:B26)</f>
        <v>1032</v>
      </c>
      <c r="C27" s="105">
        <f>SUM(C25:C26)</f>
        <v>8.6</v>
      </c>
      <c r="D27" s="105">
        <f>SUM(D25:D26)</f>
        <v>51600</v>
      </c>
      <c r="E27" s="27"/>
      <c r="F27" s="104" t="s">
        <v>18</v>
      </c>
      <c r="G27" s="105">
        <f>SUM(G25:G26)</f>
        <v>602</v>
      </c>
      <c r="H27" s="105">
        <f>SUM(H25:H26)</f>
        <v>8.6</v>
      </c>
      <c r="I27" s="105">
        <f>SUM(I25:I26)</f>
        <v>30100</v>
      </c>
      <c r="K27" s="104" t="s">
        <v>18</v>
      </c>
      <c r="L27" s="105">
        <f>SUM(L25:L26)</f>
        <v>860</v>
      </c>
      <c r="M27" s="105">
        <f>SUM(M25:M26)</f>
        <v>8.6</v>
      </c>
      <c r="N27" s="105">
        <f>SUM(N25:N26)</f>
        <v>43000</v>
      </c>
    </row>
    <row r="28" spans="1:14" ht="13.5" thickBot="1">
      <c r="A28" s="89" t="s">
        <v>19</v>
      </c>
      <c r="B28" s="101">
        <f>+B27+B22</f>
        <v>2042</v>
      </c>
      <c r="C28" s="101">
        <f>+C27+C22</f>
        <v>17.016666666666666</v>
      </c>
      <c r="D28" s="101">
        <f>+D27+D22</f>
        <v>102100</v>
      </c>
      <c r="E28" s="7"/>
      <c r="F28" s="89" t="s">
        <v>19</v>
      </c>
      <c r="G28" s="101">
        <f>+G27+G22</f>
        <v>1242</v>
      </c>
      <c r="H28" s="101">
        <f>+H27+H22</f>
        <v>13.933333333333334</v>
      </c>
      <c r="I28" s="101">
        <f>+I27+I22</f>
        <v>62100</v>
      </c>
      <c r="K28" s="89" t="s">
        <v>19</v>
      </c>
      <c r="L28" s="101">
        <f>+L27+L22</f>
        <v>1670</v>
      </c>
      <c r="M28" s="101">
        <f>+M27+M22</f>
        <v>15.35</v>
      </c>
      <c r="N28" s="101">
        <f>+N27+N22</f>
        <v>83500</v>
      </c>
    </row>
    <row r="29" spans="1:14" ht="14.25" thickBot="1" thickTop="1">
      <c r="A29" s="93" t="s">
        <v>20</v>
      </c>
      <c r="B29" s="94">
        <f>+B14-B28</f>
        <v>1572.7581442344908</v>
      </c>
      <c r="C29" s="94">
        <f>+C14-C28</f>
        <v>13.106317868620756</v>
      </c>
      <c r="D29" s="94">
        <f>+D14-D28</f>
        <v>78637.90721172455</v>
      </c>
      <c r="E29" s="7"/>
      <c r="F29" s="93" t="s">
        <v>20</v>
      </c>
      <c r="G29" s="94">
        <f>+G14-G28</f>
        <v>866.6089174701196</v>
      </c>
      <c r="H29" s="94">
        <f>+H14-H28</f>
        <v>16.18965120195409</v>
      </c>
      <c r="I29" s="94">
        <f>+I14-I28</f>
        <v>43330.44587350599</v>
      </c>
      <c r="K29" s="93" t="s">
        <v>20</v>
      </c>
      <c r="L29" s="94">
        <f>+L14-L28</f>
        <v>1342.2984535287424</v>
      </c>
      <c r="M29" s="94">
        <f>+M14-M28</f>
        <v>14.772984535287423</v>
      </c>
      <c r="N29" s="94">
        <f>+N14-N28</f>
        <v>67114.92267643713</v>
      </c>
    </row>
    <row r="30" spans="1:14" ht="13.5" thickTop="1">
      <c r="A30" s="4"/>
      <c r="B30" s="22"/>
      <c r="C30" s="17"/>
      <c r="D30" s="6"/>
      <c r="E30" s="7"/>
      <c r="F30" s="4"/>
      <c r="G30" s="22"/>
      <c r="H30" s="17"/>
      <c r="I30" s="6"/>
      <c r="K30" s="4"/>
      <c r="L30" s="22"/>
      <c r="M30" s="17"/>
      <c r="N30" s="6"/>
    </row>
    <row r="31" spans="1:14" ht="12.75">
      <c r="A31" s="8" t="s">
        <v>21</v>
      </c>
      <c r="B31" s="22"/>
      <c r="C31" s="17"/>
      <c r="D31" s="6"/>
      <c r="E31" s="7"/>
      <c r="F31" s="8" t="s">
        <v>21</v>
      </c>
      <c r="G31" s="22"/>
      <c r="H31" s="17"/>
      <c r="I31" s="6"/>
      <c r="K31" s="8" t="s">
        <v>21</v>
      </c>
      <c r="L31" s="22"/>
      <c r="M31" s="17"/>
      <c r="N31" s="6"/>
    </row>
    <row r="32" spans="1:14" ht="12.75">
      <c r="A32" s="4" t="s">
        <v>22</v>
      </c>
      <c r="B32" s="22">
        <f>+D32/$B$11</f>
        <v>24</v>
      </c>
      <c r="C32" s="17">
        <f>+B32/$B$12</f>
        <v>0.2</v>
      </c>
      <c r="D32" s="29">
        <v>1200</v>
      </c>
      <c r="E32" s="6"/>
      <c r="F32" s="4" t="s">
        <v>22</v>
      </c>
      <c r="G32" s="22">
        <f>+I32/$G$11</f>
        <v>24</v>
      </c>
      <c r="H32" s="17">
        <f>+G32/$G$12</f>
        <v>0.34285714285714286</v>
      </c>
      <c r="I32" s="29">
        <v>1200</v>
      </c>
      <c r="K32" s="4" t="s">
        <v>22</v>
      </c>
      <c r="L32" s="22">
        <f>+N32/$L$11</f>
        <v>24</v>
      </c>
      <c r="M32" s="17">
        <f>+L32/$L$12</f>
        <v>0.24</v>
      </c>
      <c r="N32" s="29">
        <v>1200</v>
      </c>
    </row>
    <row r="33" spans="1:14" ht="12.75">
      <c r="A33" s="4" t="s">
        <v>23</v>
      </c>
      <c r="B33" s="22">
        <f aca="true" t="shared" si="6" ref="B33:B42">+D33/$B$11</f>
        <v>16</v>
      </c>
      <c r="C33" s="17">
        <f t="shared" si="5"/>
        <v>0.13333333333333333</v>
      </c>
      <c r="D33" s="29">
        <v>800</v>
      </c>
      <c r="E33" s="6"/>
      <c r="F33" s="4" t="s">
        <v>23</v>
      </c>
      <c r="G33" s="22">
        <f aca="true" t="shared" si="7" ref="G33:G41">+I33/$G$11</f>
        <v>16</v>
      </c>
      <c r="H33" s="17">
        <f aca="true" t="shared" si="8" ref="H33:H41">+G33/$G$12</f>
        <v>0.22857142857142856</v>
      </c>
      <c r="I33" s="29">
        <v>800</v>
      </c>
      <c r="K33" s="4" t="s">
        <v>23</v>
      </c>
      <c r="L33" s="22">
        <f aca="true" t="shared" si="9" ref="L33:L40">+N33/$L$11</f>
        <v>16</v>
      </c>
      <c r="M33" s="17">
        <f aca="true" t="shared" si="10" ref="M33:M41">+L33/$L$12</f>
        <v>0.16</v>
      </c>
      <c r="N33" s="29">
        <v>800</v>
      </c>
    </row>
    <row r="34" spans="1:14" ht="12.75">
      <c r="A34" s="4" t="s">
        <v>24</v>
      </c>
      <c r="B34" s="22">
        <f t="shared" si="6"/>
        <v>12</v>
      </c>
      <c r="C34" s="17">
        <f t="shared" si="5"/>
        <v>0.1</v>
      </c>
      <c r="D34" s="29">
        <v>600</v>
      </c>
      <c r="E34" s="6"/>
      <c r="F34" s="4" t="s">
        <v>24</v>
      </c>
      <c r="G34" s="22">
        <f t="shared" si="7"/>
        <v>12</v>
      </c>
      <c r="H34" s="17">
        <f t="shared" si="8"/>
        <v>0.17142857142857143</v>
      </c>
      <c r="I34" s="29">
        <v>600</v>
      </c>
      <c r="K34" s="4" t="s">
        <v>24</v>
      </c>
      <c r="L34" s="22">
        <f t="shared" si="9"/>
        <v>12</v>
      </c>
      <c r="M34" s="17">
        <f t="shared" si="10"/>
        <v>0.12</v>
      </c>
      <c r="N34" s="29">
        <v>600</v>
      </c>
    </row>
    <row r="35" spans="1:14" ht="12.75">
      <c r="A35" s="4" t="s">
        <v>25</v>
      </c>
      <c r="B35" s="22">
        <f t="shared" si="6"/>
        <v>24</v>
      </c>
      <c r="C35" s="17">
        <f t="shared" si="5"/>
        <v>0.2</v>
      </c>
      <c r="D35" s="29">
        <v>1200</v>
      </c>
      <c r="E35" s="6"/>
      <c r="F35" s="4" t="s">
        <v>25</v>
      </c>
      <c r="G35" s="22">
        <f t="shared" si="7"/>
        <v>24</v>
      </c>
      <c r="H35" s="17">
        <f t="shared" si="8"/>
        <v>0.34285714285714286</v>
      </c>
      <c r="I35" s="29">
        <v>1200</v>
      </c>
      <c r="K35" s="4" t="s">
        <v>25</v>
      </c>
      <c r="L35" s="22">
        <f t="shared" si="9"/>
        <v>24</v>
      </c>
      <c r="M35" s="17">
        <f t="shared" si="10"/>
        <v>0.24</v>
      </c>
      <c r="N35" s="29">
        <v>1200</v>
      </c>
    </row>
    <row r="36" spans="1:14" ht="12.75">
      <c r="A36" s="4" t="s">
        <v>26</v>
      </c>
      <c r="B36" s="22">
        <f t="shared" si="6"/>
        <v>60</v>
      </c>
      <c r="C36" s="17">
        <f t="shared" si="5"/>
        <v>0.5</v>
      </c>
      <c r="D36" s="29">
        <v>3000</v>
      </c>
      <c r="E36" s="6"/>
      <c r="F36" s="4" t="s">
        <v>26</v>
      </c>
      <c r="G36" s="22">
        <f t="shared" si="7"/>
        <v>60</v>
      </c>
      <c r="H36" s="17">
        <f t="shared" si="8"/>
        <v>0.8571428571428571</v>
      </c>
      <c r="I36" s="29">
        <v>3000</v>
      </c>
      <c r="K36" s="4" t="s">
        <v>26</v>
      </c>
      <c r="L36" s="22">
        <f t="shared" si="9"/>
        <v>60</v>
      </c>
      <c r="M36" s="17">
        <f t="shared" si="10"/>
        <v>0.6</v>
      </c>
      <c r="N36" s="29">
        <v>3000</v>
      </c>
    </row>
    <row r="37" spans="1:14" ht="12.75">
      <c r="A37" s="4" t="s">
        <v>27</v>
      </c>
      <c r="B37" s="22">
        <f t="shared" si="6"/>
        <v>50</v>
      </c>
      <c r="C37" s="17">
        <f>+B37/$B$12</f>
        <v>0.4166666666666667</v>
      </c>
      <c r="D37" s="29">
        <v>2500</v>
      </c>
      <c r="E37" s="6"/>
      <c r="F37" s="4" t="s">
        <v>27</v>
      </c>
      <c r="G37" s="22">
        <f t="shared" si="7"/>
        <v>50</v>
      </c>
      <c r="H37" s="17">
        <f t="shared" si="8"/>
        <v>0.7142857142857143</v>
      </c>
      <c r="I37" s="29">
        <v>2500</v>
      </c>
      <c r="K37" s="4" t="s">
        <v>27</v>
      </c>
      <c r="L37" s="22">
        <f t="shared" si="9"/>
        <v>50</v>
      </c>
      <c r="M37" s="17">
        <f t="shared" si="10"/>
        <v>0.5</v>
      </c>
      <c r="N37" s="29">
        <v>2500</v>
      </c>
    </row>
    <row r="38" spans="1:14" ht="12.75">
      <c r="A38" s="4" t="s">
        <v>28</v>
      </c>
      <c r="B38" s="22">
        <f t="shared" si="6"/>
        <v>64</v>
      </c>
      <c r="C38" s="17">
        <f t="shared" si="5"/>
        <v>0.5333333333333333</v>
      </c>
      <c r="D38" s="29">
        <v>3200</v>
      </c>
      <c r="E38" s="6"/>
      <c r="F38" s="4" t="s">
        <v>28</v>
      </c>
      <c r="G38" s="22">
        <f t="shared" si="7"/>
        <v>64</v>
      </c>
      <c r="H38" s="17">
        <f t="shared" si="8"/>
        <v>0.9142857142857143</v>
      </c>
      <c r="I38" s="29">
        <v>3200</v>
      </c>
      <c r="K38" s="4" t="s">
        <v>28</v>
      </c>
      <c r="L38" s="22">
        <f t="shared" si="9"/>
        <v>64</v>
      </c>
      <c r="M38" s="17">
        <f t="shared" si="10"/>
        <v>0.64</v>
      </c>
      <c r="N38" s="29">
        <v>3200</v>
      </c>
    </row>
    <row r="39" spans="1:14" ht="12.75">
      <c r="A39" s="4" t="s">
        <v>29</v>
      </c>
      <c r="B39" s="22">
        <f t="shared" si="6"/>
        <v>30</v>
      </c>
      <c r="C39" s="17">
        <f t="shared" si="5"/>
        <v>0.25</v>
      </c>
      <c r="D39" s="29">
        <v>1500</v>
      </c>
      <c r="E39" s="6"/>
      <c r="F39" s="4" t="s">
        <v>29</v>
      </c>
      <c r="G39" s="22">
        <f t="shared" si="7"/>
        <v>30</v>
      </c>
      <c r="H39" s="17">
        <f t="shared" si="8"/>
        <v>0.42857142857142855</v>
      </c>
      <c r="I39" s="29">
        <v>1500</v>
      </c>
      <c r="K39" s="4" t="s">
        <v>29</v>
      </c>
      <c r="L39" s="22">
        <f t="shared" si="9"/>
        <v>30</v>
      </c>
      <c r="M39" s="17">
        <f t="shared" si="10"/>
        <v>0.3</v>
      </c>
      <c r="N39" s="29">
        <v>1500</v>
      </c>
    </row>
    <row r="40" spans="1:14" ht="12.75">
      <c r="A40" s="4" t="s">
        <v>30</v>
      </c>
      <c r="B40" s="22">
        <f t="shared" si="6"/>
        <v>80</v>
      </c>
      <c r="C40" s="17">
        <f t="shared" si="5"/>
        <v>0.6666666666666666</v>
      </c>
      <c r="D40" s="29">
        <v>4000</v>
      </c>
      <c r="E40" s="6"/>
      <c r="F40" s="4" t="s">
        <v>30</v>
      </c>
      <c r="G40" s="22">
        <f t="shared" si="7"/>
        <v>40</v>
      </c>
      <c r="H40" s="17">
        <f t="shared" si="8"/>
        <v>0.5714285714285714</v>
      </c>
      <c r="I40" s="29">
        <v>2000</v>
      </c>
      <c r="K40" s="4" t="s">
        <v>30</v>
      </c>
      <c r="L40" s="22">
        <f t="shared" si="9"/>
        <v>80</v>
      </c>
      <c r="M40" s="17">
        <f t="shared" si="10"/>
        <v>0.8</v>
      </c>
      <c r="N40" s="29">
        <v>4000</v>
      </c>
    </row>
    <row r="41" spans="1:14" ht="12.75">
      <c r="A41" s="30" t="s">
        <v>31</v>
      </c>
      <c r="B41" s="41">
        <f t="shared" si="6"/>
        <v>50</v>
      </c>
      <c r="C41" s="31">
        <f t="shared" si="5"/>
        <v>0.4166666666666667</v>
      </c>
      <c r="D41" s="32">
        <v>2500</v>
      </c>
      <c r="E41" s="33"/>
      <c r="F41" s="30" t="s">
        <v>31</v>
      </c>
      <c r="G41" s="22">
        <f t="shared" si="7"/>
        <v>0</v>
      </c>
      <c r="H41" s="17">
        <f t="shared" si="8"/>
        <v>0</v>
      </c>
      <c r="I41" s="32">
        <v>0</v>
      </c>
      <c r="K41" s="30" t="s">
        <v>31</v>
      </c>
      <c r="L41" s="41">
        <f>+N41/$B$11</f>
        <v>30</v>
      </c>
      <c r="M41" s="17">
        <f t="shared" si="10"/>
        <v>0.3</v>
      </c>
      <c r="N41" s="32">
        <v>1500</v>
      </c>
    </row>
    <row r="42" spans="1:14" ht="13.5" thickBot="1">
      <c r="A42" s="106" t="s">
        <v>32</v>
      </c>
      <c r="B42" s="107">
        <f t="shared" si="6"/>
        <v>410</v>
      </c>
      <c r="C42" s="108">
        <f>SUM(C32:C41)</f>
        <v>3.4166666666666665</v>
      </c>
      <c r="D42" s="108">
        <f>SUM(D32:D41)</f>
        <v>20500</v>
      </c>
      <c r="E42" s="7"/>
      <c r="F42" s="109" t="s">
        <v>32</v>
      </c>
      <c r="G42" s="108">
        <f>SUM(G32:G41)</f>
        <v>320</v>
      </c>
      <c r="H42" s="108">
        <f>SUM(H32:H41)</f>
        <v>4.571428571428571</v>
      </c>
      <c r="I42" s="108">
        <f>SUM(I32:I41)</f>
        <v>16000</v>
      </c>
      <c r="K42" s="109" t="s">
        <v>32</v>
      </c>
      <c r="L42" s="108">
        <f>SUM(L32:L41)</f>
        <v>390</v>
      </c>
      <c r="M42" s="108">
        <f>SUM(M32:M41)</f>
        <v>3.8999999999999995</v>
      </c>
      <c r="N42" s="108">
        <f>SUM(N32:N41)</f>
        <v>19500</v>
      </c>
    </row>
    <row r="43" spans="1:14" ht="14.25" thickBot="1" thickTop="1">
      <c r="A43" s="89" t="s">
        <v>69</v>
      </c>
      <c r="B43" s="90">
        <f>+B42+B28</f>
        <v>2452</v>
      </c>
      <c r="C43" s="90">
        <f>+C42+C28</f>
        <v>20.433333333333334</v>
      </c>
      <c r="D43" s="90">
        <f>+D42+D28</f>
        <v>122600</v>
      </c>
      <c r="E43" s="7"/>
      <c r="F43" s="89" t="s">
        <v>69</v>
      </c>
      <c r="G43" s="90">
        <f>+G42+G28</f>
        <v>1562</v>
      </c>
      <c r="H43" s="90">
        <f>+H42+H28</f>
        <v>18.504761904761907</v>
      </c>
      <c r="I43" s="90">
        <f>+I42+I28</f>
        <v>78100</v>
      </c>
      <c r="K43" s="89" t="s">
        <v>69</v>
      </c>
      <c r="L43" s="90">
        <f>+L42+L28</f>
        <v>2060</v>
      </c>
      <c r="M43" s="90">
        <f>+M42+M28</f>
        <v>19.25</v>
      </c>
      <c r="N43" s="90">
        <f>+N42+N28</f>
        <v>103000</v>
      </c>
    </row>
    <row r="44" spans="1:14" ht="14.25" thickBot="1" thickTop="1">
      <c r="A44" s="91" t="s">
        <v>33</v>
      </c>
      <c r="B44" s="92">
        <f>+B14-B28-B42</f>
        <v>1162.7581442344908</v>
      </c>
      <c r="C44" s="92">
        <f>+C14-C28-C42</f>
        <v>9.68965120195409</v>
      </c>
      <c r="D44" s="92">
        <f>+D14-D28-D42</f>
        <v>58137.90721172455</v>
      </c>
      <c r="E44" s="7"/>
      <c r="F44" s="91" t="s">
        <v>33</v>
      </c>
      <c r="G44" s="92">
        <f>+G14-G28-G42</f>
        <v>546.6089174701196</v>
      </c>
      <c r="H44" s="92">
        <f>+H14-H28-H42</f>
        <v>11.618222630525517</v>
      </c>
      <c r="I44" s="100">
        <f>+I14-I28-I42</f>
        <v>27330.44587350599</v>
      </c>
      <c r="K44" s="91" t="s">
        <v>33</v>
      </c>
      <c r="L44" s="92">
        <f>+L14-L28-L42</f>
        <v>952.2984535287424</v>
      </c>
      <c r="M44" s="92">
        <f>+M14-M28-M42</f>
        <v>10.872984535287422</v>
      </c>
      <c r="N44" s="92">
        <f>+N14-N28-N42</f>
        <v>47614.92267643713</v>
      </c>
    </row>
    <row r="45" spans="1:14" ht="13.5" thickTop="1">
      <c r="A45" s="4"/>
      <c r="B45" s="15"/>
      <c r="C45" s="6"/>
      <c r="D45" s="6"/>
      <c r="E45" s="7"/>
      <c r="F45" s="4"/>
      <c r="G45" s="15"/>
      <c r="H45" s="6"/>
      <c r="I45" s="6"/>
      <c r="K45" s="4"/>
      <c r="L45" s="15"/>
      <c r="M45" s="6"/>
      <c r="N45" s="6"/>
    </row>
    <row r="46" spans="1:14" ht="13.5" thickBot="1">
      <c r="A46" s="28" t="s">
        <v>34</v>
      </c>
      <c r="B46" s="36">
        <f>+D46/B11</f>
        <v>200</v>
      </c>
      <c r="C46" s="20">
        <f>+B46/B12</f>
        <v>1.6666666666666667</v>
      </c>
      <c r="D46" s="37">
        <v>10000</v>
      </c>
      <c r="E46" s="7"/>
      <c r="F46" s="28" t="s">
        <v>34</v>
      </c>
      <c r="G46" s="36">
        <f>+I46/G11</f>
        <v>150</v>
      </c>
      <c r="H46" s="20">
        <f>+G46/G12</f>
        <v>2.142857142857143</v>
      </c>
      <c r="I46" s="37">
        <v>7500</v>
      </c>
      <c r="K46" s="28" t="s">
        <v>34</v>
      </c>
      <c r="L46" s="36">
        <f>+N46/L11</f>
        <v>200</v>
      </c>
      <c r="M46" s="20">
        <f>+L46/L12</f>
        <v>2</v>
      </c>
      <c r="N46" s="37">
        <v>10000</v>
      </c>
    </row>
    <row r="47" spans="1:14" ht="14.25" thickBot="1" thickTop="1">
      <c r="A47" s="97" t="s">
        <v>35</v>
      </c>
      <c r="B47" s="110">
        <f>+B14-B28-B42-B46</f>
        <v>962.7581442344908</v>
      </c>
      <c r="C47" s="110">
        <f>+C14-C28-C42-C46</f>
        <v>8.022984535287424</v>
      </c>
      <c r="D47" s="110">
        <f>+D14-D28-D42-D46</f>
        <v>48137.90721172455</v>
      </c>
      <c r="E47" s="7"/>
      <c r="F47" s="97" t="s">
        <v>35</v>
      </c>
      <c r="G47" s="110">
        <f>+G14-G28-G42-G46</f>
        <v>396.60891747011965</v>
      </c>
      <c r="H47" s="110">
        <f>+H14-H28-H42-H46</f>
        <v>9.475365487668375</v>
      </c>
      <c r="I47" s="110">
        <f>+I14-I28-I42-I46</f>
        <v>19830.44587350599</v>
      </c>
      <c r="K47" s="97" t="s">
        <v>35</v>
      </c>
      <c r="L47" s="110">
        <f>+L14-L28-L42-L46</f>
        <v>752.2984535287424</v>
      </c>
      <c r="M47" s="110">
        <f>+M14-M28-M42-M46</f>
        <v>8.872984535287422</v>
      </c>
      <c r="N47" s="110">
        <f>+N14-N28-N42-N46</f>
        <v>37614.92267643713</v>
      </c>
    </row>
    <row r="48" spans="1:14" ht="13.5" thickTop="1">
      <c r="A48" s="4"/>
      <c r="B48" s="38"/>
      <c r="C48" s="17"/>
      <c r="D48" s="6"/>
      <c r="E48" s="7"/>
      <c r="F48" s="4"/>
      <c r="G48" s="38"/>
      <c r="H48" s="17"/>
      <c r="I48" s="6"/>
      <c r="K48" s="4"/>
      <c r="L48" s="38"/>
      <c r="M48" s="17"/>
      <c r="N48" s="6"/>
    </row>
    <row r="49" spans="1:14" ht="13.5" thickBot="1">
      <c r="A49" s="28" t="s">
        <v>36</v>
      </c>
      <c r="B49" s="39">
        <f>+D49/B11</f>
        <v>500</v>
      </c>
      <c r="C49" s="39">
        <f>+D49/(B12*B11)</f>
        <v>4.166666666666667</v>
      </c>
      <c r="D49" s="40">
        <v>25000</v>
      </c>
      <c r="E49" s="7"/>
      <c r="F49" s="28" t="s">
        <v>36</v>
      </c>
      <c r="G49" s="39">
        <f>+I49/G11</f>
        <v>500</v>
      </c>
      <c r="H49" s="39">
        <f>+I49/(G12*G11)</f>
        <v>7.142857142857143</v>
      </c>
      <c r="I49" s="40">
        <v>25000</v>
      </c>
      <c r="K49" s="28" t="s">
        <v>36</v>
      </c>
      <c r="L49" s="39">
        <f>+N49/L11</f>
        <v>500</v>
      </c>
      <c r="M49" s="39">
        <f>+N49/(L12*L11)</f>
        <v>5</v>
      </c>
      <c r="N49" s="40">
        <v>25000</v>
      </c>
    </row>
    <row r="50" spans="1:14" ht="14.25" thickBot="1" thickTop="1">
      <c r="A50" s="95" t="s">
        <v>37</v>
      </c>
      <c r="B50" s="111">
        <f>+B14-B28-B42-B46-B49</f>
        <v>462.7581442344908</v>
      </c>
      <c r="C50" s="111">
        <f>+C14-C28-C42-C46-C49</f>
        <v>3.8563178686207573</v>
      </c>
      <c r="D50" s="111">
        <f>+D14-D28-D42-D46-D49</f>
        <v>23137.907211724552</v>
      </c>
      <c r="E50" s="7"/>
      <c r="F50" s="95" t="s">
        <v>37</v>
      </c>
      <c r="G50" s="111">
        <f>+G14-G28-G42-G46-G49</f>
        <v>-103.39108252988035</v>
      </c>
      <c r="H50" s="111">
        <f>+H14-H28-H42-H46-H49</f>
        <v>2.332508344811232</v>
      </c>
      <c r="I50" s="111">
        <f>+I14-I28-I42-I46-I49</f>
        <v>-5169.554126494011</v>
      </c>
      <c r="K50" s="95" t="s">
        <v>37</v>
      </c>
      <c r="L50" s="111">
        <f>+L14-L28-L42-L46-L49</f>
        <v>252.29845352874236</v>
      </c>
      <c r="M50" s="111">
        <f>+M14-M28-M42-M46-M49</f>
        <v>3.872984535287422</v>
      </c>
      <c r="N50" s="111">
        <f>+N14-N28-N42-N46-N49</f>
        <v>12614.922676437127</v>
      </c>
    </row>
    <row r="51" ht="13.5" thickTop="1">
      <c r="E51" s="7"/>
    </row>
    <row r="53" spans="1:14" ht="12.75">
      <c r="A53" s="113" t="s">
        <v>76</v>
      </c>
      <c r="B53" s="114"/>
      <c r="C53" s="115" t="s">
        <v>70</v>
      </c>
      <c r="D53" s="115" t="s">
        <v>71</v>
      </c>
      <c r="E53" s="27"/>
      <c r="F53" s="113" t="s">
        <v>76</v>
      </c>
      <c r="G53" s="114"/>
      <c r="H53" s="115" t="s">
        <v>70</v>
      </c>
      <c r="I53" s="115" t="s">
        <v>71</v>
      </c>
      <c r="K53" s="113" t="s">
        <v>76</v>
      </c>
      <c r="L53" s="114"/>
      <c r="M53" s="115" t="s">
        <v>70</v>
      </c>
      <c r="N53" s="115" t="s">
        <v>71</v>
      </c>
    </row>
    <row r="54" spans="1:14" ht="12.75">
      <c r="A54" s="116" t="s">
        <v>72</v>
      </c>
      <c r="B54" s="114"/>
      <c r="C54" s="117">
        <f>+D54/B11</f>
        <v>46.92657741513878</v>
      </c>
      <c r="D54" s="117">
        <f>+D22/($B$8-C27)</f>
        <v>2346.328870756939</v>
      </c>
      <c r="E54" s="27"/>
      <c r="F54" s="116" t="s">
        <v>72</v>
      </c>
      <c r="G54" s="114"/>
      <c r="H54" s="117">
        <f>+I54/G11</f>
        <v>29.735653015533487</v>
      </c>
      <c r="I54" s="117">
        <f>+I22/($B$8-H27)</f>
        <v>1486.7826507766742</v>
      </c>
      <c r="K54" s="116" t="s">
        <v>72</v>
      </c>
      <c r="L54" s="114"/>
      <c r="M54" s="117">
        <f>+N54/L11</f>
        <v>37.63418584778457</v>
      </c>
      <c r="N54" s="117">
        <f>+N22/($B$8-M27)</f>
        <v>1881.7092923892285</v>
      </c>
    </row>
    <row r="55" spans="1:14" ht="12.75">
      <c r="A55" s="116" t="s">
        <v>73</v>
      </c>
      <c r="B55" s="114"/>
      <c r="C55" s="117">
        <f>+D55/B11</f>
        <v>81.22763678325488</v>
      </c>
      <c r="D55" s="117">
        <f>+D43/$B$8-C27</f>
        <v>4061.381839162744</v>
      </c>
      <c r="E55" s="27"/>
      <c r="F55" s="116" t="s">
        <v>73</v>
      </c>
      <c r="G55" s="114"/>
      <c r="H55" s="117">
        <f>+I55/G11</f>
        <v>51.682091621306746</v>
      </c>
      <c r="I55" s="117">
        <f>+I43/$B$8-H27</f>
        <v>2584.1045810653372</v>
      </c>
      <c r="K55" s="116" t="s">
        <v>73</v>
      </c>
      <c r="L55" s="114"/>
      <c r="M55" s="117">
        <f>+N55/L11</f>
        <v>68.2143180152957</v>
      </c>
      <c r="N55" s="117">
        <f>+N43/$B$8-M27</f>
        <v>3410.715900764785</v>
      </c>
    </row>
    <row r="56" spans="1:14" ht="12.75">
      <c r="A56" s="118" t="s">
        <v>74</v>
      </c>
      <c r="B56" s="114"/>
      <c r="C56" s="117">
        <f>+D56/B11</f>
        <v>98.49935061395469</v>
      </c>
      <c r="D56" s="117">
        <f>+(D49+D46+D42+D22)/($B$8-C27)</f>
        <v>4924.967530697734</v>
      </c>
      <c r="F56" s="118" t="s">
        <v>74</v>
      </c>
      <c r="G56" s="114"/>
      <c r="H56" s="117">
        <f>+I56/G11</f>
        <v>74.80375211720143</v>
      </c>
      <c r="I56" s="117">
        <f>+(I49+I46+I42+I22)/($B$8-H27)</f>
        <v>3740.1876058600715</v>
      </c>
      <c r="K56" s="118" t="s">
        <v>74</v>
      </c>
      <c r="L56" s="114"/>
      <c r="M56" s="117">
        <f>+N56/L11</f>
        <v>88.27771988986504</v>
      </c>
      <c r="N56" s="117">
        <f>+(N49+N46+N42+N22)/($B$8-M27)</f>
        <v>4413.885994493252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4.140625" style="0" customWidth="1"/>
    <col min="2" max="2" width="17.7109375" style="0" customWidth="1"/>
    <col min="5" max="5" width="12.57421875" style="0" customWidth="1"/>
  </cols>
  <sheetData>
    <row r="1" spans="1:4" ht="12.75">
      <c r="A1" s="52" t="s">
        <v>46</v>
      </c>
      <c r="B1" s="53"/>
      <c r="C1" s="53"/>
      <c r="D1" s="53"/>
    </row>
    <row r="2" spans="1:6" ht="12.75">
      <c r="A2" s="46" t="s">
        <v>47</v>
      </c>
      <c r="B2" s="54"/>
      <c r="C2" s="55">
        <v>0.46</v>
      </c>
      <c r="D2" s="56"/>
      <c r="E2" s="27"/>
      <c r="F2" s="27"/>
    </row>
    <row r="3" spans="1:6" ht="12.75">
      <c r="A3" s="46" t="s">
        <v>48</v>
      </c>
      <c r="B3" s="54"/>
      <c r="C3" s="55">
        <v>0.014809590973201692</v>
      </c>
      <c r="D3" s="56"/>
      <c r="E3" s="57"/>
      <c r="F3" s="27"/>
    </row>
    <row r="4" spans="1:6" ht="12.75">
      <c r="A4" s="48" t="s">
        <v>41</v>
      </c>
      <c r="B4" s="46"/>
      <c r="C4" s="77">
        <f>+Baselines!B3</f>
        <v>370</v>
      </c>
      <c r="D4" s="58"/>
      <c r="E4" s="27"/>
      <c r="F4" s="27"/>
    </row>
    <row r="5" spans="1:4" ht="12.75">
      <c r="A5" s="48" t="s">
        <v>49</v>
      </c>
      <c r="B5" s="46"/>
      <c r="C5" s="59">
        <v>1.048</v>
      </c>
      <c r="D5" s="60"/>
    </row>
    <row r="6" spans="1:4" ht="12.75">
      <c r="A6" s="61" t="s">
        <v>50</v>
      </c>
      <c r="B6" s="62"/>
      <c r="C6" s="63">
        <v>0.6233</v>
      </c>
      <c r="D6" s="60"/>
    </row>
    <row r="7" spans="1:7" ht="39">
      <c r="A7" s="64" t="s">
        <v>51</v>
      </c>
      <c r="B7" s="65" t="s">
        <v>52</v>
      </c>
      <c r="C7" s="66" t="s">
        <v>53</v>
      </c>
      <c r="D7" s="66" t="s">
        <v>54</v>
      </c>
      <c r="E7" s="67" t="s">
        <v>55</v>
      </c>
      <c r="F7" s="67" t="s">
        <v>56</v>
      </c>
      <c r="G7" s="67" t="s">
        <v>57</v>
      </c>
    </row>
    <row r="8" spans="1:7" ht="12.75">
      <c r="A8" s="48" t="s">
        <v>58</v>
      </c>
      <c r="B8" s="68"/>
      <c r="C8" s="69"/>
      <c r="D8" s="70">
        <f>B9*100</f>
        <v>13.5</v>
      </c>
      <c r="E8" s="71">
        <f>+D8*$C$6*$C$4/100</f>
        <v>31.133834999999998</v>
      </c>
      <c r="F8" s="46"/>
      <c r="G8" s="71">
        <f>F8+E8</f>
        <v>31.133834999999998</v>
      </c>
    </row>
    <row r="9" spans="1:7" ht="12.75">
      <c r="A9" s="48" t="s">
        <v>42</v>
      </c>
      <c r="B9" s="76">
        <f>+Baselines!B4</f>
        <v>0.135</v>
      </c>
      <c r="C9" s="72">
        <v>0.0126</v>
      </c>
      <c r="D9" s="70">
        <f>B9*C9*100</f>
        <v>0.1701</v>
      </c>
      <c r="E9" s="71">
        <f aca="true" t="shared" si="0" ref="E9:E14">+D9*$C$6*$C$4/100</f>
        <v>0.392286321</v>
      </c>
      <c r="F9" s="46"/>
      <c r="G9" s="71">
        <f>F9+E9</f>
        <v>0.392286321</v>
      </c>
    </row>
    <row r="10" spans="1:7" ht="12.75">
      <c r="A10" s="50" t="s">
        <v>43</v>
      </c>
      <c r="B10" s="76">
        <f>+Baselines!B5</f>
        <v>0.025</v>
      </c>
      <c r="C10" s="72">
        <v>-0.4287</v>
      </c>
      <c r="D10" s="70">
        <f>(C10*B10*100)</f>
        <v>-1.0717500000000002</v>
      </c>
      <c r="E10" s="71">
        <f t="shared" si="0"/>
        <v>-2.4716805675</v>
      </c>
      <c r="F10" s="71">
        <f>B10*C2*100</f>
        <v>1.1500000000000001</v>
      </c>
      <c r="G10" s="71">
        <f>F10+E10</f>
        <v>-1.3216805674999998</v>
      </c>
    </row>
    <row r="11" spans="1:7" ht="12.75">
      <c r="A11" s="50" t="s">
        <v>44</v>
      </c>
      <c r="B11" s="76">
        <f>+Baselines!B6</f>
        <v>0.14</v>
      </c>
      <c r="C11" s="72">
        <v>-0.0412</v>
      </c>
      <c r="D11" s="70">
        <f>(C11*B11)*100</f>
        <v>-0.5768000000000001</v>
      </c>
      <c r="E11" s="71">
        <f t="shared" si="0"/>
        <v>-1.330221928</v>
      </c>
      <c r="F11" s="73">
        <f>(B11-B12)*C3*100</f>
        <v>0.18511988716502115</v>
      </c>
      <c r="G11" s="71">
        <f>F11+E11</f>
        <v>-1.145102040834979</v>
      </c>
    </row>
    <row r="12" spans="1:7" ht="12.75">
      <c r="A12" s="50" t="s">
        <v>45</v>
      </c>
      <c r="B12" s="76">
        <f>+Baselines!B7</f>
        <v>0.015</v>
      </c>
      <c r="C12" s="72">
        <v>-0.07368</v>
      </c>
      <c r="D12" s="70">
        <f>(C12*B12)*100</f>
        <v>-0.11052</v>
      </c>
      <c r="E12" s="71">
        <f t="shared" si="0"/>
        <v>-0.2548823292</v>
      </c>
      <c r="F12" s="46"/>
      <c r="G12" s="71">
        <f>F12+E12</f>
        <v>-0.2548823292</v>
      </c>
    </row>
    <row r="13" spans="1:7" ht="12.75">
      <c r="A13" s="50" t="s">
        <v>59</v>
      </c>
      <c r="B13" s="74"/>
      <c r="C13" s="72"/>
      <c r="D13" s="78">
        <f>SUM(D8:D12)*(C5-1)</f>
        <v>0.5717294400000005</v>
      </c>
      <c r="E13" s="79">
        <f t="shared" si="0"/>
        <v>1.318528151822401</v>
      </c>
      <c r="F13" s="80"/>
      <c r="G13" s="81">
        <f>E13</f>
        <v>1.318528151822401</v>
      </c>
    </row>
    <row r="14" spans="1:7" ht="12.75">
      <c r="A14" s="50" t="s">
        <v>60</v>
      </c>
      <c r="B14" s="69"/>
      <c r="C14" s="69"/>
      <c r="D14" s="82">
        <f>SUM(D8:D13)</f>
        <v>12.48275944</v>
      </c>
      <c r="E14" s="83">
        <f t="shared" si="0"/>
        <v>28.7878646481224</v>
      </c>
      <c r="F14" s="83">
        <f>SUM(F8:F12)</f>
        <v>1.3351198871650212</v>
      </c>
      <c r="G14" s="83">
        <f>SUM(G8:G13)</f>
        <v>30.122984535287422</v>
      </c>
    </row>
    <row r="17" ht="12.75">
      <c r="A17" s="84" t="s">
        <v>64</v>
      </c>
    </row>
    <row r="18" spans="1:6" ht="12.75">
      <c r="A18" s="46" t="s">
        <v>47</v>
      </c>
      <c r="B18" s="54"/>
      <c r="C18" s="55">
        <v>0.46</v>
      </c>
      <c r="D18" s="56"/>
      <c r="E18" s="27"/>
      <c r="F18" s="27"/>
    </row>
    <row r="19" spans="1:6" ht="12.75">
      <c r="A19" s="46" t="s">
        <v>48</v>
      </c>
      <c r="B19" s="54"/>
      <c r="C19" s="55">
        <v>0.014809590973201692</v>
      </c>
      <c r="D19" s="56"/>
      <c r="E19" s="57"/>
      <c r="F19" s="27"/>
    </row>
    <row r="20" spans="1:6" ht="12.75">
      <c r="A20" s="48" t="s">
        <v>41</v>
      </c>
      <c r="B20" s="46"/>
      <c r="C20" s="77">
        <f>+'Growers data'!B3</f>
        <v>450</v>
      </c>
      <c r="D20" s="58"/>
      <c r="E20" s="27"/>
      <c r="F20" s="27"/>
    </row>
    <row r="21" spans="1:4" ht="12.75">
      <c r="A21" s="48" t="s">
        <v>49</v>
      </c>
      <c r="B21" s="46"/>
      <c r="C21" s="59">
        <v>1.048</v>
      </c>
      <c r="D21" s="60"/>
    </row>
    <row r="22" spans="1:4" ht="12.75">
      <c r="A22" s="61" t="s">
        <v>50</v>
      </c>
      <c r="B22" s="62"/>
      <c r="C22" s="63">
        <v>0.6233</v>
      </c>
      <c r="D22" s="60"/>
    </row>
    <row r="23" spans="1:7" ht="39">
      <c r="A23" s="64" t="s">
        <v>51</v>
      </c>
      <c r="B23" s="65" t="s">
        <v>52</v>
      </c>
      <c r="C23" s="66" t="s">
        <v>53</v>
      </c>
      <c r="D23" s="66" t="s">
        <v>54</v>
      </c>
      <c r="E23" s="67" t="s">
        <v>55</v>
      </c>
      <c r="F23" s="67" t="s">
        <v>56</v>
      </c>
      <c r="G23" s="67" t="s">
        <v>57</v>
      </c>
    </row>
    <row r="24" spans="1:7" ht="12.75">
      <c r="A24" s="48" t="s">
        <v>58</v>
      </c>
      <c r="B24" s="68"/>
      <c r="C24" s="69"/>
      <c r="D24" s="70">
        <f>B25*100</f>
        <v>13.5</v>
      </c>
      <c r="E24" s="71">
        <f aca="true" t="shared" si="1" ref="E24:E30">+D24*$C$22*$C$20/100</f>
        <v>37.865475</v>
      </c>
      <c r="F24" s="46"/>
      <c r="G24" s="71">
        <f>F24+E24</f>
        <v>37.865475</v>
      </c>
    </row>
    <row r="25" spans="1:7" ht="12.75">
      <c r="A25" s="48" t="s">
        <v>42</v>
      </c>
      <c r="B25" s="76">
        <f>+'Growers data'!B4</f>
        <v>0.135</v>
      </c>
      <c r="C25" s="72">
        <v>0.0126</v>
      </c>
      <c r="D25" s="70">
        <f>B25*C25*100</f>
        <v>0.1701</v>
      </c>
      <c r="E25" s="71">
        <f t="shared" si="1"/>
        <v>0.477104985</v>
      </c>
      <c r="F25" s="46"/>
      <c r="G25" s="71">
        <f>F25+E25</f>
        <v>0.477104985</v>
      </c>
    </row>
    <row r="26" spans="1:7" ht="12.75">
      <c r="A26" s="50" t="s">
        <v>43</v>
      </c>
      <c r="B26" s="76">
        <f>+'Growers data'!B5</f>
        <v>0.025</v>
      </c>
      <c r="C26" s="72">
        <v>-0.4287</v>
      </c>
      <c r="D26" s="70">
        <f>(C26*B26*100)</f>
        <v>-1.0717500000000002</v>
      </c>
      <c r="E26" s="71">
        <f t="shared" si="1"/>
        <v>-3.0060979875000005</v>
      </c>
      <c r="F26" s="71">
        <f>B26*C18*100</f>
        <v>1.1500000000000001</v>
      </c>
      <c r="G26" s="71">
        <f>F26+E26</f>
        <v>-1.8560979875000003</v>
      </c>
    </row>
    <row r="27" spans="1:7" ht="12.75">
      <c r="A27" s="50" t="s">
        <v>44</v>
      </c>
      <c r="B27" s="76">
        <f>+'Growers data'!B6</f>
        <v>0.14</v>
      </c>
      <c r="C27" s="72">
        <v>-0.0412</v>
      </c>
      <c r="D27" s="70">
        <f>(C27*B27)*100</f>
        <v>-0.5768000000000001</v>
      </c>
      <c r="E27" s="71">
        <f t="shared" si="1"/>
        <v>-1.61783748</v>
      </c>
      <c r="F27" s="73">
        <f>(B27-B28)*C19*100</f>
        <v>0.18511988716502115</v>
      </c>
      <c r="G27" s="71">
        <f>F27+E27</f>
        <v>-1.4327175928349787</v>
      </c>
    </row>
    <row r="28" spans="1:7" ht="12.75">
      <c r="A28" s="50" t="s">
        <v>45</v>
      </c>
      <c r="B28" s="76">
        <f>+'Growers data'!B7</f>
        <v>0.015</v>
      </c>
      <c r="C28" s="72">
        <v>-0.07368</v>
      </c>
      <c r="D28" s="70">
        <f>(C28*B28)*100</f>
        <v>-0.11052</v>
      </c>
      <c r="E28" s="71">
        <f t="shared" si="1"/>
        <v>-0.309992022</v>
      </c>
      <c r="F28" s="46"/>
      <c r="G28" s="71">
        <f>F28+E28</f>
        <v>-0.309992022</v>
      </c>
    </row>
    <row r="29" spans="1:7" ht="12.75">
      <c r="A29" s="50" t="s">
        <v>59</v>
      </c>
      <c r="B29" s="74"/>
      <c r="C29" s="72"/>
      <c r="D29" s="78">
        <f>SUM(D24:D28)*(C21-1)</f>
        <v>0.5717294400000005</v>
      </c>
      <c r="E29" s="71">
        <f t="shared" si="1"/>
        <v>1.6036153197840013</v>
      </c>
      <c r="F29" s="80"/>
      <c r="G29" s="81">
        <f>E29</f>
        <v>1.6036153197840013</v>
      </c>
    </row>
    <row r="30" spans="1:7" ht="12.75">
      <c r="A30" s="50" t="s">
        <v>60</v>
      </c>
      <c r="B30" s="69"/>
      <c r="C30" s="69"/>
      <c r="D30" s="82">
        <f>SUM(D24:D29)</f>
        <v>12.48275944</v>
      </c>
      <c r="E30" s="83">
        <f t="shared" si="1"/>
        <v>35.012267815284</v>
      </c>
      <c r="F30" s="83">
        <f>SUM(F24:F28)</f>
        <v>1.3351198871650212</v>
      </c>
      <c r="G30" s="83">
        <f>SUM(G24:G29)</f>
        <v>36.34738770244902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C70" sqref="C70"/>
    </sheetView>
  </sheetViews>
  <sheetFormatPr defaultColWidth="9.140625" defaultRowHeight="12.75"/>
  <cols>
    <col min="1" max="1" width="21.00390625" style="0" customWidth="1"/>
    <col min="2" max="2" width="14.00390625" style="0" customWidth="1"/>
    <col min="3" max="3" width="12.140625" style="0" customWidth="1"/>
    <col min="4" max="4" width="11.28125" style="0" customWidth="1"/>
    <col min="6" max="6" width="18.8515625" style="0" customWidth="1"/>
    <col min="8" max="8" width="10.28125" style="0" customWidth="1"/>
    <col min="9" max="9" width="12.00390625" style="0" customWidth="1"/>
    <col min="11" max="11" width="20.7109375" style="0" customWidth="1"/>
    <col min="14" max="14" width="13.140625" style="0" customWidth="1"/>
  </cols>
  <sheetData>
    <row r="1" ht="12.75">
      <c r="A1" s="112" t="s">
        <v>78</v>
      </c>
    </row>
    <row r="2" spans="1:3" ht="12.75">
      <c r="A2" s="42" t="s">
        <v>40</v>
      </c>
      <c r="B2" s="45" t="s">
        <v>68</v>
      </c>
      <c r="C2" s="42"/>
    </row>
    <row r="3" spans="1:3" ht="12.75">
      <c r="A3" s="46" t="s">
        <v>41</v>
      </c>
      <c r="B3" s="47">
        <v>450</v>
      </c>
      <c r="C3" s="85"/>
    </row>
    <row r="4" spans="1:3" ht="12.75">
      <c r="A4" s="48" t="s">
        <v>42</v>
      </c>
      <c r="B4" s="49">
        <v>0.135</v>
      </c>
      <c r="C4" s="86"/>
    </row>
    <row r="5" spans="1:3" ht="12.75">
      <c r="A5" s="50" t="s">
        <v>43</v>
      </c>
      <c r="B5" s="51">
        <v>0.025</v>
      </c>
      <c r="C5" s="87"/>
    </row>
    <row r="6" spans="1:3" ht="12.75">
      <c r="A6" s="50" t="s">
        <v>44</v>
      </c>
      <c r="B6" s="51">
        <v>0.14</v>
      </c>
      <c r="C6" s="87"/>
    </row>
    <row r="7" spans="1:3" ht="12.75">
      <c r="A7" s="50" t="s">
        <v>45</v>
      </c>
      <c r="B7" s="51">
        <v>0.015</v>
      </c>
      <c r="C7" s="87"/>
    </row>
    <row r="8" spans="1:2" ht="12.75">
      <c r="A8" s="42" t="s">
        <v>38</v>
      </c>
      <c r="B8" s="43">
        <f>+'Price formula'!G30</f>
        <v>36.34738770244902</v>
      </c>
    </row>
    <row r="9" spans="1:2" ht="12.75">
      <c r="A9" s="42"/>
      <c r="B9" s="43"/>
    </row>
    <row r="10" spans="1:14" ht="12.75">
      <c r="A10" s="1" t="s">
        <v>65</v>
      </c>
      <c r="B10" s="2"/>
      <c r="C10" s="2"/>
      <c r="D10" s="3"/>
      <c r="F10" s="1" t="s">
        <v>66</v>
      </c>
      <c r="G10" s="2"/>
      <c r="H10" s="2"/>
      <c r="I10" s="3"/>
      <c r="K10" s="1" t="s">
        <v>67</v>
      </c>
      <c r="L10" s="2"/>
      <c r="M10" s="2"/>
      <c r="N10" s="3"/>
    </row>
    <row r="11" spans="1:14" ht="12.75">
      <c r="A11" s="4" t="s">
        <v>0</v>
      </c>
      <c r="B11" s="5">
        <v>50</v>
      </c>
      <c r="C11" s="6" t="s">
        <v>1</v>
      </c>
      <c r="D11" s="6"/>
      <c r="E11" s="7"/>
      <c r="F11" s="4" t="s">
        <v>0</v>
      </c>
      <c r="G11" s="5">
        <v>50</v>
      </c>
      <c r="H11" s="6" t="s">
        <v>1</v>
      </c>
      <c r="I11" s="6"/>
      <c r="K11" s="4" t="s">
        <v>0</v>
      </c>
      <c r="L11" s="5">
        <v>50</v>
      </c>
      <c r="M11" s="6" t="s">
        <v>1</v>
      </c>
      <c r="N11" s="6"/>
    </row>
    <row r="12" spans="1:14" ht="12.75">
      <c r="A12" s="4" t="s">
        <v>39</v>
      </c>
      <c r="B12" s="5">
        <v>120</v>
      </c>
      <c r="C12" s="6" t="s">
        <v>2</v>
      </c>
      <c r="D12" s="6"/>
      <c r="E12" s="7"/>
      <c r="F12" s="4" t="s">
        <v>39</v>
      </c>
      <c r="G12" s="5">
        <v>70</v>
      </c>
      <c r="H12" s="6" t="s">
        <v>2</v>
      </c>
      <c r="I12" s="6"/>
      <c r="K12" s="4" t="s">
        <v>39</v>
      </c>
      <c r="L12" s="5">
        <v>100</v>
      </c>
      <c r="M12" s="6" t="s">
        <v>2</v>
      </c>
      <c r="N12" s="6"/>
    </row>
    <row r="13" spans="1:14" ht="13.5" thickBot="1">
      <c r="A13" s="8"/>
      <c r="B13" s="9" t="s">
        <v>3</v>
      </c>
      <c r="C13" s="10" t="s">
        <v>4</v>
      </c>
      <c r="D13" s="10" t="s">
        <v>5</v>
      </c>
      <c r="E13" s="11"/>
      <c r="F13" s="8"/>
      <c r="G13" s="9" t="s">
        <v>3</v>
      </c>
      <c r="H13" s="10" t="s">
        <v>4</v>
      </c>
      <c r="I13" s="10" t="s">
        <v>5</v>
      </c>
      <c r="K13" s="8"/>
      <c r="L13" s="9" t="s">
        <v>3</v>
      </c>
      <c r="M13" s="10" t="s">
        <v>4</v>
      </c>
      <c r="N13" s="10" t="s">
        <v>5</v>
      </c>
    </row>
    <row r="14" spans="1:14" ht="12.75">
      <c r="A14" s="12" t="s">
        <v>6</v>
      </c>
      <c r="B14" s="13">
        <f>+B12*B8</f>
        <v>4361.686524293882</v>
      </c>
      <c r="C14" s="14">
        <f>+B14/B12</f>
        <v>36.34738770244902</v>
      </c>
      <c r="D14" s="14">
        <f>+B14*B11</f>
        <v>218084.3262146941</v>
      </c>
      <c r="E14" s="7"/>
      <c r="F14" s="12" t="s">
        <v>6</v>
      </c>
      <c r="G14" s="13">
        <f>+B8*G12</f>
        <v>2544.3171391714313</v>
      </c>
      <c r="H14" s="14">
        <f>+G14/G12</f>
        <v>36.34738770244902</v>
      </c>
      <c r="I14" s="14">
        <f>+G14*G11</f>
        <v>127215.85695857156</v>
      </c>
      <c r="K14" s="12" t="s">
        <v>6</v>
      </c>
      <c r="L14" s="13">
        <f>+L12*B8</f>
        <v>3634.738770244902</v>
      </c>
      <c r="M14" s="14">
        <f>+L14/L12</f>
        <v>36.34738770244902</v>
      </c>
      <c r="N14" s="14">
        <f>+L14*L11</f>
        <v>181736.9385122451</v>
      </c>
    </row>
    <row r="15" spans="1:14" ht="12.75">
      <c r="A15" s="8" t="s">
        <v>7</v>
      </c>
      <c r="B15" s="15"/>
      <c r="C15" s="6"/>
      <c r="D15" s="6"/>
      <c r="E15" s="7"/>
      <c r="F15" s="8" t="s">
        <v>7</v>
      </c>
      <c r="G15" s="15"/>
      <c r="H15" s="6"/>
      <c r="I15" s="6"/>
      <c r="K15" s="8" t="s">
        <v>7</v>
      </c>
      <c r="L15" s="15"/>
      <c r="M15" s="6"/>
      <c r="N15" s="6"/>
    </row>
    <row r="16" spans="1:14" ht="12.75">
      <c r="A16" s="4" t="s">
        <v>8</v>
      </c>
      <c r="B16" s="16">
        <v>85</v>
      </c>
      <c r="C16" s="17">
        <f>+B16/$B$12</f>
        <v>0.7083333333333334</v>
      </c>
      <c r="D16" s="6">
        <f aca="true" t="shared" si="0" ref="D16:D21">+B16*$B$11</f>
        <v>4250</v>
      </c>
      <c r="E16" s="7"/>
      <c r="F16" s="4" t="s">
        <v>8</v>
      </c>
      <c r="G16" s="16">
        <v>75</v>
      </c>
      <c r="H16" s="17">
        <f aca="true" t="shared" si="1" ref="H16:H21">+G16/$B$12</f>
        <v>0.625</v>
      </c>
      <c r="I16" s="6">
        <f aca="true" t="shared" si="2" ref="I16:I21">+G16*$G$11</f>
        <v>3750</v>
      </c>
      <c r="K16" s="4" t="s">
        <v>8</v>
      </c>
      <c r="L16" s="16">
        <v>75</v>
      </c>
      <c r="M16" s="17">
        <f aca="true" t="shared" si="3" ref="M16:M21">+L16/$B$12</f>
        <v>0.625</v>
      </c>
      <c r="N16" s="6">
        <f aca="true" t="shared" si="4" ref="N16:N21">+L16*$L$11</f>
        <v>3750</v>
      </c>
    </row>
    <row r="17" spans="1:14" ht="12.75">
      <c r="A17" s="4" t="s">
        <v>9</v>
      </c>
      <c r="B17" s="16">
        <v>150</v>
      </c>
      <c r="C17" s="17">
        <f aca="true" t="shared" si="5" ref="C17:C41">+B17/$B$12</f>
        <v>1.25</v>
      </c>
      <c r="D17" s="6">
        <f t="shared" si="0"/>
        <v>7500</v>
      </c>
      <c r="E17" s="7"/>
      <c r="F17" s="4" t="s">
        <v>9</v>
      </c>
      <c r="G17" s="16">
        <v>0</v>
      </c>
      <c r="H17" s="17">
        <f t="shared" si="1"/>
        <v>0</v>
      </c>
      <c r="I17" s="6">
        <f t="shared" si="2"/>
        <v>0</v>
      </c>
      <c r="K17" s="4" t="s">
        <v>9</v>
      </c>
      <c r="L17" s="16">
        <v>50</v>
      </c>
      <c r="M17" s="17">
        <f t="shared" si="3"/>
        <v>0.4166666666666667</v>
      </c>
      <c r="N17" s="6">
        <f t="shared" si="4"/>
        <v>2500</v>
      </c>
    </row>
    <row r="18" spans="1:14" ht="12.75">
      <c r="A18" s="4" t="s">
        <v>10</v>
      </c>
      <c r="B18" s="16">
        <v>355</v>
      </c>
      <c r="C18" s="17">
        <f t="shared" si="5"/>
        <v>2.9583333333333335</v>
      </c>
      <c r="D18" s="6">
        <f t="shared" si="0"/>
        <v>17750</v>
      </c>
      <c r="E18" s="7"/>
      <c r="F18" s="4" t="s">
        <v>10</v>
      </c>
      <c r="G18" s="16">
        <v>355</v>
      </c>
      <c r="H18" s="17">
        <f t="shared" si="1"/>
        <v>2.9583333333333335</v>
      </c>
      <c r="I18" s="6">
        <f t="shared" si="2"/>
        <v>17750</v>
      </c>
      <c r="K18" s="4" t="s">
        <v>10</v>
      </c>
      <c r="L18" s="16">
        <v>355</v>
      </c>
      <c r="M18" s="17">
        <f t="shared" si="3"/>
        <v>2.9583333333333335</v>
      </c>
      <c r="N18" s="6">
        <f t="shared" si="4"/>
        <v>17750</v>
      </c>
    </row>
    <row r="19" spans="1:14" ht="12.75">
      <c r="A19" s="4" t="s">
        <v>11</v>
      </c>
      <c r="B19" s="16">
        <v>150</v>
      </c>
      <c r="C19" s="17">
        <f t="shared" si="5"/>
        <v>1.25</v>
      </c>
      <c r="D19" s="6">
        <f t="shared" si="0"/>
        <v>7500</v>
      </c>
      <c r="E19" s="7"/>
      <c r="F19" s="4" t="s">
        <v>11</v>
      </c>
      <c r="G19" s="16">
        <v>0</v>
      </c>
      <c r="H19" s="17">
        <f t="shared" si="1"/>
        <v>0</v>
      </c>
      <c r="I19" s="6">
        <f t="shared" si="2"/>
        <v>0</v>
      </c>
      <c r="K19" s="4" t="s">
        <v>11</v>
      </c>
      <c r="L19" s="16">
        <v>90</v>
      </c>
      <c r="M19" s="17">
        <f t="shared" si="3"/>
        <v>0.75</v>
      </c>
      <c r="N19" s="6">
        <f t="shared" si="4"/>
        <v>4500</v>
      </c>
    </row>
    <row r="20" spans="1:14" ht="12.75">
      <c r="A20" s="4" t="s">
        <v>12</v>
      </c>
      <c r="B20" s="16">
        <v>150</v>
      </c>
      <c r="C20" s="17">
        <f t="shared" si="5"/>
        <v>1.25</v>
      </c>
      <c r="D20" s="6">
        <f t="shared" si="0"/>
        <v>7500</v>
      </c>
      <c r="E20" s="7"/>
      <c r="F20" s="4" t="s">
        <v>12</v>
      </c>
      <c r="G20" s="16">
        <v>90</v>
      </c>
      <c r="H20" s="17">
        <f t="shared" si="1"/>
        <v>0.75</v>
      </c>
      <c r="I20" s="6">
        <f t="shared" si="2"/>
        <v>4500</v>
      </c>
      <c r="K20" s="4" t="s">
        <v>12</v>
      </c>
      <c r="L20" s="16">
        <v>120</v>
      </c>
      <c r="M20" s="17">
        <f t="shared" si="3"/>
        <v>1</v>
      </c>
      <c r="N20" s="6">
        <f t="shared" si="4"/>
        <v>6000</v>
      </c>
    </row>
    <row r="21" spans="1:14" ht="13.5" thickBot="1">
      <c r="A21" s="18" t="s">
        <v>13</v>
      </c>
      <c r="B21" s="19">
        <v>120</v>
      </c>
      <c r="C21" s="20">
        <f t="shared" si="5"/>
        <v>1</v>
      </c>
      <c r="D21" s="21">
        <f t="shared" si="0"/>
        <v>6000</v>
      </c>
      <c r="E21" s="7"/>
      <c r="F21" s="18" t="s">
        <v>13</v>
      </c>
      <c r="G21" s="19">
        <v>120</v>
      </c>
      <c r="H21" s="20">
        <f t="shared" si="1"/>
        <v>1</v>
      </c>
      <c r="I21" s="6">
        <f t="shared" si="2"/>
        <v>6000</v>
      </c>
      <c r="K21" s="18" t="s">
        <v>13</v>
      </c>
      <c r="L21" s="19">
        <v>120</v>
      </c>
      <c r="M21" s="20">
        <f t="shared" si="3"/>
        <v>1</v>
      </c>
      <c r="N21" s="44">
        <f t="shared" si="4"/>
        <v>6000</v>
      </c>
    </row>
    <row r="22" spans="1:14" ht="13.5" thickTop="1">
      <c r="A22" s="102" t="s">
        <v>14</v>
      </c>
      <c r="B22" s="103">
        <f>SUM(B16:B21)</f>
        <v>1010</v>
      </c>
      <c r="C22" s="103">
        <f>SUM(C16:C21)</f>
        <v>8.416666666666668</v>
      </c>
      <c r="D22" s="103">
        <f>SUM(D16:D21)</f>
        <v>50500</v>
      </c>
      <c r="E22" s="7"/>
      <c r="F22" s="102" t="s">
        <v>14</v>
      </c>
      <c r="G22" s="103">
        <f>SUM(G16:G21)</f>
        <v>640</v>
      </c>
      <c r="H22" s="103">
        <f>SUM(H16:H21)</f>
        <v>5.333333333333334</v>
      </c>
      <c r="I22" s="103">
        <f>SUM(I16:I21)</f>
        <v>32000</v>
      </c>
      <c r="K22" s="102" t="s">
        <v>14</v>
      </c>
      <c r="L22" s="103">
        <f>SUM(L16:L21)</f>
        <v>810</v>
      </c>
      <c r="M22" s="103">
        <f>SUM(M16:M21)</f>
        <v>6.75</v>
      </c>
      <c r="N22" s="103">
        <f>SUM(N16:N21)</f>
        <v>40500</v>
      </c>
    </row>
    <row r="23" spans="1:14" ht="12.75">
      <c r="A23" s="8"/>
      <c r="B23" s="22"/>
      <c r="C23" s="23"/>
      <c r="D23" s="23"/>
      <c r="E23" s="7"/>
      <c r="F23" s="8"/>
      <c r="G23" s="22"/>
      <c r="H23" s="23"/>
      <c r="I23" s="23"/>
      <c r="K23" s="8"/>
      <c r="L23" s="22"/>
      <c r="M23" s="23"/>
      <c r="N23" s="23"/>
    </row>
    <row r="24" spans="1:14" ht="12.75">
      <c r="A24" s="8" t="s">
        <v>15</v>
      </c>
      <c r="B24" s="22"/>
      <c r="C24" s="17"/>
      <c r="D24" s="6"/>
      <c r="E24" s="7"/>
      <c r="F24" s="8" t="s">
        <v>15</v>
      </c>
      <c r="G24" s="22"/>
      <c r="H24" s="17"/>
      <c r="I24" s="6"/>
      <c r="K24" s="8" t="s">
        <v>15</v>
      </c>
      <c r="L24" s="22"/>
      <c r="M24" s="17"/>
      <c r="N24" s="6"/>
    </row>
    <row r="25" spans="1:14" ht="12.75">
      <c r="A25" s="4" t="s">
        <v>16</v>
      </c>
      <c r="B25" s="22">
        <f>+C25*$B$12</f>
        <v>960</v>
      </c>
      <c r="C25" s="24">
        <v>8</v>
      </c>
      <c r="D25" s="6">
        <f>+B25*$B$11</f>
        <v>48000</v>
      </c>
      <c r="E25" s="7"/>
      <c r="F25" s="4" t="s">
        <v>16</v>
      </c>
      <c r="G25" s="22">
        <f>+H25*$G$12</f>
        <v>560</v>
      </c>
      <c r="H25" s="24">
        <v>8</v>
      </c>
      <c r="I25" s="6">
        <f>+G25*$G$11</f>
        <v>28000</v>
      </c>
      <c r="K25" s="4" t="s">
        <v>16</v>
      </c>
      <c r="L25" s="22">
        <f>+M25*$L$12</f>
        <v>800</v>
      </c>
      <c r="M25" s="24">
        <v>8</v>
      </c>
      <c r="N25" s="6">
        <f>+L25*$L$11</f>
        <v>40000</v>
      </c>
    </row>
    <row r="26" spans="1:14" ht="13.5" thickBot="1">
      <c r="A26" s="18" t="s">
        <v>17</v>
      </c>
      <c r="B26" s="25">
        <f>+C26*$B$12</f>
        <v>72</v>
      </c>
      <c r="C26" s="26">
        <v>0.6</v>
      </c>
      <c r="D26" s="21">
        <f>+B26*$B$11</f>
        <v>3600</v>
      </c>
      <c r="E26" s="7"/>
      <c r="F26" s="18" t="s">
        <v>17</v>
      </c>
      <c r="G26" s="25">
        <f>+H26*$G$12</f>
        <v>42</v>
      </c>
      <c r="H26" s="26">
        <v>0.6</v>
      </c>
      <c r="I26" s="44">
        <f>+G26*$G$11</f>
        <v>2100</v>
      </c>
      <c r="K26" s="18" t="s">
        <v>17</v>
      </c>
      <c r="L26" s="25">
        <f>+M26*$L$12</f>
        <v>60</v>
      </c>
      <c r="M26" s="26">
        <v>0.6</v>
      </c>
      <c r="N26" s="44">
        <f>+L26*$L$11</f>
        <v>3000</v>
      </c>
    </row>
    <row r="27" spans="1:14" ht="13.5" thickTop="1">
      <c r="A27" s="104" t="s">
        <v>18</v>
      </c>
      <c r="B27" s="105">
        <f>SUM(B25:B26)</f>
        <v>1032</v>
      </c>
      <c r="C27" s="105">
        <f>SUM(C25:C26)</f>
        <v>8.6</v>
      </c>
      <c r="D27" s="105">
        <f>SUM(D25:D26)</f>
        <v>51600</v>
      </c>
      <c r="E27" s="27"/>
      <c r="F27" s="104" t="s">
        <v>18</v>
      </c>
      <c r="G27" s="105">
        <f>SUM(G25:G26)</f>
        <v>602</v>
      </c>
      <c r="H27" s="105">
        <f>SUM(H25:H26)</f>
        <v>8.6</v>
      </c>
      <c r="I27" s="105">
        <f>SUM(I25:I26)</f>
        <v>30100</v>
      </c>
      <c r="K27" s="104" t="s">
        <v>18</v>
      </c>
      <c r="L27" s="105">
        <f>SUM(L25:L26)</f>
        <v>860</v>
      </c>
      <c r="M27" s="105">
        <f>SUM(M25:M26)</f>
        <v>8.6</v>
      </c>
      <c r="N27" s="105">
        <f>SUM(N25:N26)</f>
        <v>43000</v>
      </c>
    </row>
    <row r="28" spans="1:14" ht="13.5" thickBot="1">
      <c r="A28" s="89" t="s">
        <v>19</v>
      </c>
      <c r="B28" s="101">
        <f>+B27+B22</f>
        <v>2042</v>
      </c>
      <c r="C28" s="101">
        <f>+C27+C22</f>
        <v>17.016666666666666</v>
      </c>
      <c r="D28" s="101">
        <f>+D27+D22</f>
        <v>102100</v>
      </c>
      <c r="E28" s="7"/>
      <c r="F28" s="89" t="s">
        <v>19</v>
      </c>
      <c r="G28" s="101">
        <f>+G27+G22</f>
        <v>1242</v>
      </c>
      <c r="H28" s="101">
        <f>+H27+H22</f>
        <v>13.933333333333334</v>
      </c>
      <c r="I28" s="101">
        <f>+I27+I22</f>
        <v>62100</v>
      </c>
      <c r="K28" s="89" t="s">
        <v>19</v>
      </c>
      <c r="L28" s="101">
        <f>+L27+L22</f>
        <v>1670</v>
      </c>
      <c r="M28" s="101">
        <f>+M27+M22</f>
        <v>15.35</v>
      </c>
      <c r="N28" s="101">
        <f>+N27+N22</f>
        <v>83500</v>
      </c>
    </row>
    <row r="29" spans="1:14" ht="14.25" thickBot="1" thickTop="1">
      <c r="A29" s="95" t="s">
        <v>20</v>
      </c>
      <c r="B29" s="96">
        <f>+B14-B28</f>
        <v>2319.686524293882</v>
      </c>
      <c r="C29" s="96">
        <f>+C14-C28</f>
        <v>19.330721035782354</v>
      </c>
      <c r="D29" s="96">
        <f>+D14-D28</f>
        <v>115984.3262146941</v>
      </c>
      <c r="E29" s="7"/>
      <c r="F29" s="95" t="s">
        <v>20</v>
      </c>
      <c r="G29" s="96">
        <f>+G14-G28</f>
        <v>1302.3171391714313</v>
      </c>
      <c r="H29" s="96">
        <f>+H14-H28</f>
        <v>22.414054369115686</v>
      </c>
      <c r="I29" s="96">
        <f>+I14-I28</f>
        <v>65115.85695857156</v>
      </c>
      <c r="K29" s="95" t="s">
        <v>20</v>
      </c>
      <c r="L29" s="96">
        <f>+L14-L28</f>
        <v>1964.7387702449018</v>
      </c>
      <c r="M29" s="96">
        <f>+M14-M28</f>
        <v>20.997387702449018</v>
      </c>
      <c r="N29" s="96">
        <f>+N14-N28</f>
        <v>98236.9385122451</v>
      </c>
    </row>
    <row r="30" spans="1:14" ht="13.5" thickTop="1">
      <c r="A30" s="4"/>
      <c r="B30" s="22"/>
      <c r="C30" s="17"/>
      <c r="D30" s="6"/>
      <c r="E30" s="7"/>
      <c r="F30" s="4"/>
      <c r="G30" s="22"/>
      <c r="H30" s="17"/>
      <c r="I30" s="6"/>
      <c r="K30" s="4"/>
      <c r="L30" s="22"/>
      <c r="M30" s="17"/>
      <c r="N30" s="6"/>
    </row>
    <row r="31" spans="1:14" ht="12.75">
      <c r="A31" s="8" t="s">
        <v>21</v>
      </c>
      <c r="B31" s="22"/>
      <c r="C31" s="17"/>
      <c r="D31" s="6"/>
      <c r="E31" s="7"/>
      <c r="F31" s="8" t="s">
        <v>21</v>
      </c>
      <c r="G31" s="22"/>
      <c r="H31" s="17"/>
      <c r="I31" s="6"/>
      <c r="K31" s="8" t="s">
        <v>21</v>
      </c>
      <c r="L31" s="22"/>
      <c r="M31" s="17"/>
      <c r="N31" s="6"/>
    </row>
    <row r="32" spans="1:14" ht="12.75">
      <c r="A32" s="4" t="s">
        <v>22</v>
      </c>
      <c r="B32" s="22">
        <f>+D32/$B$11</f>
        <v>24</v>
      </c>
      <c r="C32" s="17">
        <f>+B32/$B$12</f>
        <v>0.2</v>
      </c>
      <c r="D32" s="29">
        <v>1200</v>
      </c>
      <c r="E32" s="6"/>
      <c r="F32" s="4" t="s">
        <v>22</v>
      </c>
      <c r="G32" s="22">
        <f>+I32/$G$11</f>
        <v>24</v>
      </c>
      <c r="H32" s="17">
        <f>+G32/$G$12</f>
        <v>0.34285714285714286</v>
      </c>
      <c r="I32" s="29">
        <v>1200</v>
      </c>
      <c r="K32" s="4" t="s">
        <v>22</v>
      </c>
      <c r="L32" s="22">
        <f>+N32/$L$11</f>
        <v>24</v>
      </c>
      <c r="M32" s="17">
        <f>+L32/$L$12</f>
        <v>0.24</v>
      </c>
      <c r="N32" s="29">
        <v>1200</v>
      </c>
    </row>
    <row r="33" spans="1:14" ht="12.75">
      <c r="A33" s="4" t="s">
        <v>23</v>
      </c>
      <c r="B33" s="22">
        <f aca="true" t="shared" si="6" ref="B33:B42">+D33/$B$11</f>
        <v>16</v>
      </c>
      <c r="C33" s="17">
        <f t="shared" si="5"/>
        <v>0.13333333333333333</v>
      </c>
      <c r="D33" s="29">
        <v>800</v>
      </c>
      <c r="E33" s="6"/>
      <c r="F33" s="4" t="s">
        <v>23</v>
      </c>
      <c r="G33" s="22">
        <f aca="true" t="shared" si="7" ref="G33:G41">+I33/$G$11</f>
        <v>16</v>
      </c>
      <c r="H33" s="17">
        <f aca="true" t="shared" si="8" ref="H33:H41">+G33/$G$12</f>
        <v>0.22857142857142856</v>
      </c>
      <c r="I33" s="29">
        <v>800</v>
      </c>
      <c r="K33" s="4" t="s">
        <v>23</v>
      </c>
      <c r="L33" s="22">
        <f aca="true" t="shared" si="9" ref="L33:L40">+N33/$L$11</f>
        <v>16</v>
      </c>
      <c r="M33" s="17">
        <f aca="true" t="shared" si="10" ref="M33:M41">+L33/$L$12</f>
        <v>0.16</v>
      </c>
      <c r="N33" s="29">
        <v>800</v>
      </c>
    </row>
    <row r="34" spans="1:14" ht="12.75">
      <c r="A34" s="4" t="s">
        <v>24</v>
      </c>
      <c r="B34" s="22">
        <f t="shared" si="6"/>
        <v>12</v>
      </c>
      <c r="C34" s="17">
        <f t="shared" si="5"/>
        <v>0.1</v>
      </c>
      <c r="D34" s="29">
        <v>600</v>
      </c>
      <c r="E34" s="6"/>
      <c r="F34" s="4" t="s">
        <v>24</v>
      </c>
      <c r="G34" s="22">
        <f t="shared" si="7"/>
        <v>12</v>
      </c>
      <c r="H34" s="17">
        <f t="shared" si="8"/>
        <v>0.17142857142857143</v>
      </c>
      <c r="I34" s="29">
        <v>600</v>
      </c>
      <c r="K34" s="4" t="s">
        <v>24</v>
      </c>
      <c r="L34" s="22">
        <f t="shared" si="9"/>
        <v>12</v>
      </c>
      <c r="M34" s="17">
        <f t="shared" si="10"/>
        <v>0.12</v>
      </c>
      <c r="N34" s="29">
        <v>600</v>
      </c>
    </row>
    <row r="35" spans="1:14" ht="12.75">
      <c r="A35" s="4" t="s">
        <v>25</v>
      </c>
      <c r="B35" s="22">
        <f t="shared" si="6"/>
        <v>24</v>
      </c>
      <c r="C35" s="17">
        <f t="shared" si="5"/>
        <v>0.2</v>
      </c>
      <c r="D35" s="29">
        <v>1200</v>
      </c>
      <c r="E35" s="6"/>
      <c r="F35" s="4" t="s">
        <v>25</v>
      </c>
      <c r="G35" s="22">
        <f t="shared" si="7"/>
        <v>24</v>
      </c>
      <c r="H35" s="17">
        <f t="shared" si="8"/>
        <v>0.34285714285714286</v>
      </c>
      <c r="I35" s="29">
        <v>1200</v>
      </c>
      <c r="K35" s="4" t="s">
        <v>25</v>
      </c>
      <c r="L35" s="22">
        <f t="shared" si="9"/>
        <v>24</v>
      </c>
      <c r="M35" s="17">
        <f t="shared" si="10"/>
        <v>0.24</v>
      </c>
      <c r="N35" s="29">
        <v>1200</v>
      </c>
    </row>
    <row r="36" spans="1:14" ht="12.75">
      <c r="A36" s="4" t="s">
        <v>26</v>
      </c>
      <c r="B36" s="22">
        <f t="shared" si="6"/>
        <v>60</v>
      </c>
      <c r="C36" s="17">
        <f t="shared" si="5"/>
        <v>0.5</v>
      </c>
      <c r="D36" s="29">
        <v>3000</v>
      </c>
      <c r="E36" s="6"/>
      <c r="F36" s="4" t="s">
        <v>26</v>
      </c>
      <c r="G36" s="22">
        <f t="shared" si="7"/>
        <v>60</v>
      </c>
      <c r="H36" s="17">
        <f t="shared" si="8"/>
        <v>0.8571428571428571</v>
      </c>
      <c r="I36" s="29">
        <v>3000</v>
      </c>
      <c r="K36" s="4" t="s">
        <v>26</v>
      </c>
      <c r="L36" s="22">
        <f t="shared" si="9"/>
        <v>60</v>
      </c>
      <c r="M36" s="17">
        <f t="shared" si="10"/>
        <v>0.6</v>
      </c>
      <c r="N36" s="29">
        <v>3000</v>
      </c>
    </row>
    <row r="37" spans="1:14" ht="12.75">
      <c r="A37" s="4" t="s">
        <v>27</v>
      </c>
      <c r="B37" s="22">
        <f t="shared" si="6"/>
        <v>50</v>
      </c>
      <c r="C37" s="17">
        <f>+B37/$B$12</f>
        <v>0.4166666666666667</v>
      </c>
      <c r="D37" s="29">
        <v>2500</v>
      </c>
      <c r="E37" s="6"/>
      <c r="F37" s="4" t="s">
        <v>27</v>
      </c>
      <c r="G37" s="22">
        <f t="shared" si="7"/>
        <v>50</v>
      </c>
      <c r="H37" s="17">
        <f t="shared" si="8"/>
        <v>0.7142857142857143</v>
      </c>
      <c r="I37" s="29">
        <v>2500</v>
      </c>
      <c r="K37" s="4" t="s">
        <v>27</v>
      </c>
      <c r="L37" s="22">
        <f t="shared" si="9"/>
        <v>50</v>
      </c>
      <c r="M37" s="17">
        <f t="shared" si="10"/>
        <v>0.5</v>
      </c>
      <c r="N37" s="29">
        <v>2500</v>
      </c>
    </row>
    <row r="38" spans="1:14" ht="12.75">
      <c r="A38" s="4" t="s">
        <v>28</v>
      </c>
      <c r="B38" s="22">
        <f t="shared" si="6"/>
        <v>64</v>
      </c>
      <c r="C38" s="17">
        <f t="shared" si="5"/>
        <v>0.5333333333333333</v>
      </c>
      <c r="D38" s="29">
        <v>3200</v>
      </c>
      <c r="E38" s="6"/>
      <c r="F38" s="4" t="s">
        <v>28</v>
      </c>
      <c r="G38" s="22">
        <f t="shared" si="7"/>
        <v>64</v>
      </c>
      <c r="H38" s="17">
        <f t="shared" si="8"/>
        <v>0.9142857142857143</v>
      </c>
      <c r="I38" s="29">
        <v>3200</v>
      </c>
      <c r="K38" s="4" t="s">
        <v>28</v>
      </c>
      <c r="L38" s="22">
        <f t="shared" si="9"/>
        <v>64</v>
      </c>
      <c r="M38" s="17">
        <f t="shared" si="10"/>
        <v>0.64</v>
      </c>
      <c r="N38" s="29">
        <v>3200</v>
      </c>
    </row>
    <row r="39" spans="1:14" ht="12.75">
      <c r="A39" s="4" t="s">
        <v>29</v>
      </c>
      <c r="B39" s="22">
        <f t="shared" si="6"/>
        <v>30</v>
      </c>
      <c r="C39" s="17">
        <f t="shared" si="5"/>
        <v>0.25</v>
      </c>
      <c r="D39" s="29">
        <v>1500</v>
      </c>
      <c r="E39" s="6"/>
      <c r="F39" s="4" t="s">
        <v>29</v>
      </c>
      <c r="G39" s="22">
        <f t="shared" si="7"/>
        <v>30</v>
      </c>
      <c r="H39" s="17">
        <f t="shared" si="8"/>
        <v>0.42857142857142855</v>
      </c>
      <c r="I39" s="29">
        <v>1500</v>
      </c>
      <c r="K39" s="4" t="s">
        <v>29</v>
      </c>
      <c r="L39" s="22">
        <f t="shared" si="9"/>
        <v>30</v>
      </c>
      <c r="M39" s="17">
        <f t="shared" si="10"/>
        <v>0.3</v>
      </c>
      <c r="N39" s="29">
        <v>1500</v>
      </c>
    </row>
    <row r="40" spans="1:14" ht="12.75">
      <c r="A40" s="4" t="s">
        <v>30</v>
      </c>
      <c r="B40" s="22">
        <f t="shared" si="6"/>
        <v>80</v>
      </c>
      <c r="C40" s="17">
        <f t="shared" si="5"/>
        <v>0.6666666666666666</v>
      </c>
      <c r="D40" s="29">
        <v>4000</v>
      </c>
      <c r="E40" s="6"/>
      <c r="F40" s="4" t="s">
        <v>30</v>
      </c>
      <c r="G40" s="22">
        <f t="shared" si="7"/>
        <v>40</v>
      </c>
      <c r="H40" s="17">
        <f t="shared" si="8"/>
        <v>0.5714285714285714</v>
      </c>
      <c r="I40" s="29">
        <v>2000</v>
      </c>
      <c r="K40" s="4" t="s">
        <v>30</v>
      </c>
      <c r="L40" s="22">
        <f t="shared" si="9"/>
        <v>80</v>
      </c>
      <c r="M40" s="17">
        <f t="shared" si="10"/>
        <v>0.8</v>
      </c>
      <c r="N40" s="29">
        <v>4000</v>
      </c>
    </row>
    <row r="41" spans="1:14" ht="12.75">
      <c r="A41" s="30" t="s">
        <v>31</v>
      </c>
      <c r="B41" s="41">
        <f t="shared" si="6"/>
        <v>50</v>
      </c>
      <c r="C41" s="31">
        <f t="shared" si="5"/>
        <v>0.4166666666666667</v>
      </c>
      <c r="D41" s="32">
        <v>2500</v>
      </c>
      <c r="E41" s="33"/>
      <c r="F41" s="30" t="s">
        <v>31</v>
      </c>
      <c r="G41" s="22">
        <f t="shared" si="7"/>
        <v>0</v>
      </c>
      <c r="H41" s="17">
        <f t="shared" si="8"/>
        <v>0</v>
      </c>
      <c r="I41" s="32">
        <v>0</v>
      </c>
      <c r="K41" s="30" t="s">
        <v>31</v>
      </c>
      <c r="L41" s="41">
        <f>+N41/$B$11</f>
        <v>30</v>
      </c>
      <c r="M41" s="17">
        <f t="shared" si="10"/>
        <v>0.3</v>
      </c>
      <c r="N41" s="32">
        <v>1500</v>
      </c>
    </row>
    <row r="42" spans="1:14" ht="13.5" thickBot="1">
      <c r="A42" s="75" t="s">
        <v>32</v>
      </c>
      <c r="B42" s="88">
        <f t="shared" si="6"/>
        <v>410</v>
      </c>
      <c r="C42" s="35">
        <f>SUM(C32:C41)</f>
        <v>3.4166666666666665</v>
      </c>
      <c r="D42" s="35">
        <f>SUM(D32:D41)</f>
        <v>20500</v>
      </c>
      <c r="E42" s="7"/>
      <c r="F42" s="34" t="s">
        <v>32</v>
      </c>
      <c r="G42" s="35">
        <f>SUM(G32:G41)</f>
        <v>320</v>
      </c>
      <c r="H42" s="35">
        <f>SUM(H32:H41)</f>
        <v>4.571428571428571</v>
      </c>
      <c r="I42" s="35">
        <f>SUM(I32:I41)</f>
        <v>16000</v>
      </c>
      <c r="K42" s="34" t="s">
        <v>32</v>
      </c>
      <c r="L42" s="35">
        <f>SUM(L32:L41)</f>
        <v>390</v>
      </c>
      <c r="M42" s="35">
        <f>SUM(M32:M41)</f>
        <v>3.8999999999999995</v>
      </c>
      <c r="N42" s="35">
        <f>SUM(N32:N41)</f>
        <v>19500</v>
      </c>
    </row>
    <row r="43" spans="1:14" ht="14.25" thickBot="1" thickTop="1">
      <c r="A43" s="89" t="s">
        <v>69</v>
      </c>
      <c r="B43" s="90">
        <f>+B42+B28</f>
        <v>2452</v>
      </c>
      <c r="C43" s="90">
        <f>+C42+C28</f>
        <v>20.433333333333334</v>
      </c>
      <c r="D43" s="90">
        <f>+D42+D28</f>
        <v>122600</v>
      </c>
      <c r="E43" s="7"/>
      <c r="F43" s="89" t="s">
        <v>69</v>
      </c>
      <c r="G43" s="90">
        <f>+G42+G28</f>
        <v>1562</v>
      </c>
      <c r="H43" s="90">
        <f>+H42+H28</f>
        <v>18.504761904761907</v>
      </c>
      <c r="I43" s="90">
        <f>+I42+I28</f>
        <v>78100</v>
      </c>
      <c r="K43" s="89" t="s">
        <v>69</v>
      </c>
      <c r="L43" s="90">
        <f>+L42+L28</f>
        <v>2060</v>
      </c>
      <c r="M43" s="90">
        <f>+M42+M28</f>
        <v>19.25</v>
      </c>
      <c r="N43" s="90">
        <f>+N42+N28</f>
        <v>103000</v>
      </c>
    </row>
    <row r="44" spans="1:14" ht="14.25" thickBot="1" thickTop="1">
      <c r="A44" s="97" t="s">
        <v>33</v>
      </c>
      <c r="B44" s="98">
        <f>+B14-B28-B42</f>
        <v>1909.686524293882</v>
      </c>
      <c r="C44" s="98">
        <f>+C14-C28-C42</f>
        <v>15.914054369115687</v>
      </c>
      <c r="D44" s="98">
        <f>+D14-D28-D42</f>
        <v>95484.3262146941</v>
      </c>
      <c r="E44" s="7"/>
      <c r="F44" s="97" t="s">
        <v>33</v>
      </c>
      <c r="G44" s="98">
        <f>+G14-G28-G42</f>
        <v>982.3171391714313</v>
      </c>
      <c r="H44" s="98">
        <f>+H14-H28-H42</f>
        <v>17.842625797687113</v>
      </c>
      <c r="I44" s="99">
        <f>+I14-I28-I42</f>
        <v>49115.85695857156</v>
      </c>
      <c r="K44" s="97" t="s">
        <v>33</v>
      </c>
      <c r="L44" s="98">
        <f>+L14-L28-L42</f>
        <v>1574.7387702449018</v>
      </c>
      <c r="M44" s="98">
        <f>+M14-M28-M42</f>
        <v>17.09738770244902</v>
      </c>
      <c r="N44" s="98">
        <f>+N14-N28-N42</f>
        <v>78736.9385122451</v>
      </c>
    </row>
    <row r="45" spans="1:14" ht="13.5" thickTop="1">
      <c r="A45" s="4"/>
      <c r="B45" s="15"/>
      <c r="C45" s="6"/>
      <c r="D45" s="6"/>
      <c r="E45" s="7"/>
      <c r="F45" s="4"/>
      <c r="G45" s="15"/>
      <c r="H45" s="6"/>
      <c r="I45" s="6"/>
      <c r="K45" s="4"/>
      <c r="L45" s="15"/>
      <c r="M45" s="6"/>
      <c r="N45" s="6"/>
    </row>
    <row r="46" spans="1:14" ht="13.5" thickBot="1">
      <c r="A46" s="28" t="s">
        <v>34</v>
      </c>
      <c r="B46" s="36">
        <f>+D46/B11</f>
        <v>200</v>
      </c>
      <c r="C46" s="20">
        <f>+B46/B12</f>
        <v>1.6666666666666667</v>
      </c>
      <c r="D46" s="37">
        <v>10000</v>
      </c>
      <c r="E46" s="7"/>
      <c r="F46" s="28" t="s">
        <v>34</v>
      </c>
      <c r="G46" s="36">
        <f>+I46/G11</f>
        <v>150</v>
      </c>
      <c r="H46" s="20">
        <f>+G46/G12</f>
        <v>2.142857142857143</v>
      </c>
      <c r="I46" s="37">
        <v>7500</v>
      </c>
      <c r="K46" s="28" t="s">
        <v>34</v>
      </c>
      <c r="L46" s="36">
        <f>+N46/L11</f>
        <v>200</v>
      </c>
      <c r="M46" s="20">
        <f>+L46/L12</f>
        <v>2</v>
      </c>
      <c r="N46" s="37">
        <v>10000</v>
      </c>
    </row>
    <row r="47" spans="1:14" ht="14.25" thickBot="1" thickTop="1">
      <c r="A47" s="97" t="s">
        <v>35</v>
      </c>
      <c r="B47" s="110">
        <f>+B14-B28-B42-B46</f>
        <v>1709.686524293882</v>
      </c>
      <c r="C47" s="110">
        <f>+C14-C28-C42-C46</f>
        <v>14.247387702449021</v>
      </c>
      <c r="D47" s="110">
        <f>+D14-D28-D42-D46</f>
        <v>85484.3262146941</v>
      </c>
      <c r="E47" s="7"/>
      <c r="F47" s="97" t="s">
        <v>35</v>
      </c>
      <c r="G47" s="110">
        <f>+G14-G28-G42-G46</f>
        <v>832.3171391714313</v>
      </c>
      <c r="H47" s="110">
        <f>+H14-H28-H42-H46</f>
        <v>15.69976865482997</v>
      </c>
      <c r="I47" s="110">
        <f>+I14-I28-I42-I46</f>
        <v>41615.85695857156</v>
      </c>
      <c r="K47" s="97" t="s">
        <v>35</v>
      </c>
      <c r="L47" s="110">
        <f>+L14-L28-L42-L46</f>
        <v>1374.7387702449018</v>
      </c>
      <c r="M47" s="110">
        <f>+M14-M28-M42-M46</f>
        <v>15.09738770244902</v>
      </c>
      <c r="N47" s="110">
        <f>+N14-N28-N42-N46</f>
        <v>68736.9385122451</v>
      </c>
    </row>
    <row r="48" spans="1:14" ht="13.5" thickTop="1">
      <c r="A48" s="4"/>
      <c r="B48" s="38"/>
      <c r="C48" s="17"/>
      <c r="D48" s="6"/>
      <c r="E48" s="7"/>
      <c r="F48" s="4"/>
      <c r="G48" s="38"/>
      <c r="H48" s="17"/>
      <c r="I48" s="6"/>
      <c r="K48" s="4"/>
      <c r="L48" s="38"/>
      <c r="M48" s="17"/>
      <c r="N48" s="6"/>
    </row>
    <row r="49" spans="1:14" ht="13.5" thickBot="1">
      <c r="A49" s="28" t="s">
        <v>36</v>
      </c>
      <c r="B49" s="39">
        <f>+D49/B11</f>
        <v>500</v>
      </c>
      <c r="C49" s="39">
        <f>+D49/(B12*B11)</f>
        <v>4.166666666666667</v>
      </c>
      <c r="D49" s="40">
        <v>25000</v>
      </c>
      <c r="E49" s="7"/>
      <c r="F49" s="28" t="s">
        <v>36</v>
      </c>
      <c r="G49" s="39">
        <f>+I49/G11</f>
        <v>500</v>
      </c>
      <c r="H49" s="39">
        <f>+I49/(G12*G11)</f>
        <v>7.142857142857143</v>
      </c>
      <c r="I49" s="40">
        <v>25000</v>
      </c>
      <c r="K49" s="28" t="s">
        <v>36</v>
      </c>
      <c r="L49" s="39">
        <f>+N49/L11</f>
        <v>500</v>
      </c>
      <c r="M49" s="39">
        <f>+N49/(L12*L11)</f>
        <v>5</v>
      </c>
      <c r="N49" s="40">
        <v>25000</v>
      </c>
    </row>
    <row r="50" spans="1:14" ht="14.25" thickBot="1" thickTop="1">
      <c r="A50" s="95" t="s">
        <v>37</v>
      </c>
      <c r="B50" s="111">
        <f>+B14-B28-B42-B46-B49</f>
        <v>1209.686524293882</v>
      </c>
      <c r="C50" s="111">
        <f>+C14-C28-C42-C46-C49</f>
        <v>10.080721035782354</v>
      </c>
      <c r="D50" s="111">
        <f>+D14-D28-D42-D46-D49</f>
        <v>60484.3262146941</v>
      </c>
      <c r="E50" s="7"/>
      <c r="F50" s="95" t="s">
        <v>37</v>
      </c>
      <c r="G50" s="111">
        <f>+G14-G28-G42-G46-G49</f>
        <v>332.31713917143134</v>
      </c>
      <c r="H50" s="111">
        <f>+H14-H28-H42-H46-H49</f>
        <v>8.556911511972828</v>
      </c>
      <c r="I50" s="111">
        <f>+I14-I28-I42-I46-I49</f>
        <v>16615.85695857156</v>
      </c>
      <c r="K50" s="95" t="s">
        <v>37</v>
      </c>
      <c r="L50" s="111">
        <f>+L14-L28-L42-L46-L49</f>
        <v>874.7387702449018</v>
      </c>
      <c r="M50" s="111">
        <f>+M14-M28-M42-M46-M49</f>
        <v>10.09738770244902</v>
      </c>
      <c r="N50" s="111">
        <f>+N14-N28-N42-N46-N49</f>
        <v>43736.938512245106</v>
      </c>
    </row>
    <row r="51" ht="13.5" thickTop="1">
      <c r="E51" s="7"/>
    </row>
    <row r="53" spans="1:14" ht="12.75">
      <c r="A53" s="113" t="s">
        <v>75</v>
      </c>
      <c r="B53" s="114"/>
      <c r="C53" s="115" t="s">
        <v>70</v>
      </c>
      <c r="D53" s="115" t="s">
        <v>71</v>
      </c>
      <c r="E53" s="27"/>
      <c r="F53" s="113" t="s">
        <v>75</v>
      </c>
      <c r="G53" s="114"/>
      <c r="H53" s="115" t="s">
        <v>70</v>
      </c>
      <c r="I53" s="115" t="s">
        <v>71</v>
      </c>
      <c r="K53" s="113" t="s">
        <v>75</v>
      </c>
      <c r="L53" s="114"/>
      <c r="M53" s="115" t="s">
        <v>70</v>
      </c>
      <c r="N53" s="115" t="s">
        <v>71</v>
      </c>
    </row>
    <row r="54" spans="1:14" ht="12.75">
      <c r="A54" s="116" t="s">
        <v>72</v>
      </c>
      <c r="B54" s="114"/>
      <c r="C54" s="117">
        <f>+D54/B11</f>
        <v>36.39982296102261</v>
      </c>
      <c r="D54" s="117">
        <f>+D22/($B$8-C27)</f>
        <v>1819.9911480511303</v>
      </c>
      <c r="E54" s="27"/>
      <c r="F54" s="116" t="s">
        <v>72</v>
      </c>
      <c r="G54" s="114"/>
      <c r="H54" s="117">
        <f>+I54/G11</f>
        <v>23.065234351539075</v>
      </c>
      <c r="I54" s="117">
        <f>+I22/($B$8-H27)</f>
        <v>1153.2617175769537</v>
      </c>
      <c r="K54" s="116" t="s">
        <v>72</v>
      </c>
      <c r="L54" s="114"/>
      <c r="M54" s="117">
        <f>+N54/L11</f>
        <v>29.191937226166644</v>
      </c>
      <c r="N54" s="117">
        <f>+N22/($B$8-M27)</f>
        <v>1459.596861308332</v>
      </c>
    </row>
    <row r="55" spans="1:14" ht="12.75">
      <c r="A55" s="116" t="s">
        <v>73</v>
      </c>
      <c r="B55" s="114"/>
      <c r="C55" s="117">
        <f>+D55/B11</f>
        <v>67.28814376804276</v>
      </c>
      <c r="D55" s="117">
        <f>+D43/$B$8-C27</f>
        <v>3364.4071884021378</v>
      </c>
      <c r="E55" s="27"/>
      <c r="F55" s="116" t="s">
        <v>73</v>
      </c>
      <c r="G55" s="114"/>
      <c r="H55" s="117">
        <f>+I55/G11</f>
        <v>42.80220251455252</v>
      </c>
      <c r="I55" s="117">
        <f>+I43/$B$8-H27</f>
        <v>2140.110125727626</v>
      </c>
      <c r="K55" s="116" t="s">
        <v>73</v>
      </c>
      <c r="L55" s="114"/>
      <c r="M55" s="117">
        <f>+N55/L11</f>
        <v>56.50332469908975</v>
      </c>
      <c r="N55" s="117">
        <f>+N43/$B$8-M27</f>
        <v>2825.1662349544877</v>
      </c>
    </row>
    <row r="56" spans="1:14" ht="12.75">
      <c r="A56" s="118" t="s">
        <v>74</v>
      </c>
      <c r="B56" s="114"/>
      <c r="C56" s="117">
        <f>+D56/B11</f>
        <v>76.40358878947319</v>
      </c>
      <c r="D56" s="117">
        <f>+(D49+D46+D42+D22)/($B$8-C27)</f>
        <v>3820.1794394736594</v>
      </c>
      <c r="F56" s="118" t="s">
        <v>74</v>
      </c>
      <c r="G56" s="114"/>
      <c r="H56" s="117">
        <f>+I56/G11</f>
        <v>58.02348016559049</v>
      </c>
      <c r="I56" s="117">
        <f>+(I49+I46+I42+I22)/($B$8-H27)</f>
        <v>2901.1740082795245</v>
      </c>
      <c r="K56" s="118" t="s">
        <v>74</v>
      </c>
      <c r="L56" s="114"/>
      <c r="M56" s="117">
        <f>+N56/L11</f>
        <v>68.47491448113163</v>
      </c>
      <c r="N56" s="117">
        <f>+(N49+N46+N42+N22)/($B$8-M27)</f>
        <v>3423.7457240565814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Kevin Moore</cp:lastModifiedBy>
  <cp:lastPrinted>2006-12-11T21:29:44Z</cp:lastPrinted>
  <dcterms:created xsi:type="dcterms:W3CDTF">2006-12-07T00:47:02Z</dcterms:created>
  <dcterms:modified xsi:type="dcterms:W3CDTF">2013-11-18T04:30:23Z</dcterms:modified>
  <cp:category/>
  <cp:version/>
  <cp:contentType/>
  <cp:contentStatus/>
</cp:coreProperties>
</file>